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2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3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4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5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6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7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8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1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2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3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4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5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6.xml" ContentType="application/vnd.openxmlformats-officedocument.drawingml.chartshap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7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0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1.xml" ContentType="application/vnd.openxmlformats-officedocument.drawingml.chartshapes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2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3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4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5.xml" ContentType="application/vnd.openxmlformats-officedocument.drawingml.chartshapes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6.xml" ContentType="application/vnd.openxmlformats-officedocument.drawingml.chartshapes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7.xml" ContentType="application/vnd.openxmlformats-officedocument.drawingml.chartshapes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8.xml" ContentType="application/vnd.openxmlformats-officedocument.drawingml.chartshape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51.xml" ContentType="application/vnd.openxmlformats-officedocument.drawingml.chartshapes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52.xml" ContentType="application/vnd.openxmlformats-officedocument.drawingml.chartshapes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53.xml" ContentType="application/vnd.openxmlformats-officedocument.drawingml.chartshapes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54.xml" ContentType="application/vnd.openxmlformats-officedocument.drawingml.chartshapes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5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6.xml" ContentType="application/vnd.openxmlformats-officedocument.drawingml.chartshapes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7.xml" ContentType="application/vnd.openxmlformats-officedocument.drawingml.chartshapes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8.xml" ContentType="application/vnd.openxmlformats-officedocument.drawingml.chartshapes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61.xml" ContentType="application/vnd.openxmlformats-officedocument.drawingml.chartshapes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62.xml" ContentType="application/vnd.openxmlformats-officedocument.drawingml.chartshapes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63.xml" ContentType="application/vnd.openxmlformats-officedocument.drawingml.chartshapes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64.xml" ContentType="application/vnd.openxmlformats-officedocument.drawingml.chartshapes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65.xml" ContentType="application/vnd.openxmlformats-officedocument.drawingml.chartshape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6.xml" ContentType="application/vnd.openxmlformats-officedocument.drawingml.chartshapes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7.xml" ContentType="application/vnd.openxmlformats-officedocument.drawingml.chartshapes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8.xml" ContentType="application/vnd.openxmlformats-officedocument.drawingml.chartshapes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71.xml" ContentType="application/vnd.openxmlformats-officedocument.drawingml.chartshapes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72.xml" ContentType="application/vnd.openxmlformats-officedocument.drawingml.chartshapes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73.xml" ContentType="application/vnd.openxmlformats-officedocument.drawingml.chartshapes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74.xml" ContentType="application/vnd.openxmlformats-officedocument.drawingml.chartshapes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75.xml" ContentType="application/vnd.openxmlformats-officedocument.drawingml.chartshapes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78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79.xml" ContentType="application/vnd.openxmlformats-officedocument.drawing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8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81.xml" ContentType="application/vnd.openxmlformats-officedocument.drawing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82.xml" ContentType="application/vnd.openxmlformats-officedocument.drawing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83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84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85.xml" ContentType="application/vnd.openxmlformats-officedocument.drawing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86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87.xml" ContentType="application/vnd.openxmlformats-officedocument.drawing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88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89.xml" ContentType="application/vnd.openxmlformats-officedocument.drawing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kings\Desktop\Covid Stuff\"/>
    </mc:Choice>
  </mc:AlternateContent>
  <bookViews>
    <workbookView xWindow="0" yWindow="0" windowWidth="6900" windowHeight="8256"/>
  </bookViews>
  <sheets>
    <sheet name="July 11" sheetId="26" r:id="rId1"/>
    <sheet name="July 4" sheetId="25" r:id="rId2"/>
    <sheet name="June 27" sheetId="24" r:id="rId3"/>
    <sheet name="June 20" sheetId="23" r:id="rId4"/>
    <sheet name="Data" sheetId="1" r:id="rId5"/>
    <sheet name="Graph Data" sheetId="2" r:id="rId6"/>
    <sheet name="June 13" sheetId="22" r:id="rId7"/>
    <sheet name="June 6" sheetId="21" r:id="rId8"/>
    <sheet name="May 30" sheetId="20" r:id="rId9"/>
    <sheet name="May 23" sheetId="19" r:id="rId10"/>
    <sheet name="Canada Numbers" sheetId="11" r:id="rId11"/>
    <sheet name="BC Numbers" sheetId="12" r:id="rId12"/>
    <sheet name="Tests Per Million Population" sheetId="3" r:id="rId13"/>
    <sheet name="Cases Per Million Population" sheetId="4" r:id="rId14"/>
    <sheet name="Deaths Per Million Population" sheetId="5" r:id="rId15"/>
    <sheet name="% Mortality Outcome" sheetId="6" r:id="rId16"/>
    <sheet name="Active Cases Per Million" sheetId="8" r:id="rId17"/>
    <sheet name="Active Cases" sheetId="17" r:id="rId18"/>
    <sheet name="Cumulative Deaths" sheetId="18" r:id="rId19"/>
    <sheet name="Active Cases Stacked" sheetId="16" r:id="rId20"/>
    <sheet name="% Death per Case" sheetId="9" r:id="rId21"/>
    <sheet name="New Cases" sheetId="13" r:id="rId22"/>
    <sheet name="New Deaths" sheetId="14" r:id="rId2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8" i="1" l="1"/>
  <c r="G934" i="1"/>
  <c r="G933" i="1"/>
  <c r="AB928" i="1"/>
  <c r="AB929" i="1"/>
  <c r="AB930" i="1"/>
  <c r="AB931" i="1"/>
  <c r="AB932" i="1"/>
  <c r="AB933" i="1"/>
  <c r="AB934" i="1"/>
  <c r="AB935" i="1"/>
  <c r="AB936" i="1"/>
  <c r="AB937" i="1"/>
  <c r="AB938" i="1"/>
  <c r="AB927" i="1"/>
  <c r="Y938" i="1"/>
  <c r="V938" i="1"/>
  <c r="T938" i="1"/>
  <c r="S938" i="1"/>
  <c r="Q938" i="1"/>
  <c r="P938" i="1"/>
  <c r="AA938" i="1" s="1"/>
  <c r="O938" i="1"/>
  <c r="N938" i="1"/>
  <c r="Z938" i="1" s="1"/>
  <c r="L938" i="1"/>
  <c r="K938" i="1"/>
  <c r="J938" i="1"/>
  <c r="H938" i="1"/>
  <c r="R938" i="1" s="1"/>
  <c r="Y937" i="1"/>
  <c r="V937" i="1"/>
  <c r="T937" i="1"/>
  <c r="S937" i="1"/>
  <c r="Q937" i="1"/>
  <c r="P937" i="1"/>
  <c r="AA937" i="1" s="1"/>
  <c r="O937" i="1"/>
  <c r="N937" i="1"/>
  <c r="Z937" i="1" s="1"/>
  <c r="L937" i="1"/>
  <c r="J937" i="1"/>
  <c r="H937" i="1"/>
  <c r="M937" i="1" s="1"/>
  <c r="Y936" i="1"/>
  <c r="V936" i="1"/>
  <c r="T936" i="1"/>
  <c r="S936" i="1"/>
  <c r="Q936" i="1"/>
  <c r="P936" i="1"/>
  <c r="AA936" i="1" s="1"/>
  <c r="O936" i="1"/>
  <c r="N936" i="1"/>
  <c r="Z936" i="1" s="1"/>
  <c r="L936" i="1"/>
  <c r="K936" i="1"/>
  <c r="J936" i="1"/>
  <c r="H936" i="1"/>
  <c r="R936" i="1" s="1"/>
  <c r="Y935" i="1"/>
  <c r="V935" i="1"/>
  <c r="T935" i="1"/>
  <c r="S935" i="1"/>
  <c r="Q935" i="1"/>
  <c r="P935" i="1"/>
  <c r="AA935" i="1" s="1"/>
  <c r="O935" i="1"/>
  <c r="N935" i="1"/>
  <c r="Z935" i="1" s="1"/>
  <c r="L935" i="1"/>
  <c r="K935" i="1"/>
  <c r="J935" i="1"/>
  <c r="H935" i="1"/>
  <c r="R935" i="1" s="1"/>
  <c r="Y934" i="1"/>
  <c r="V934" i="1"/>
  <c r="T934" i="1"/>
  <c r="S934" i="1"/>
  <c r="Q934" i="1"/>
  <c r="P934" i="1"/>
  <c r="AA934" i="1" s="1"/>
  <c r="O934" i="1"/>
  <c r="N934" i="1"/>
  <c r="Z934" i="1" s="1"/>
  <c r="L934" i="1"/>
  <c r="K934" i="1"/>
  <c r="J934" i="1"/>
  <c r="H934" i="1"/>
  <c r="R934" i="1" s="1"/>
  <c r="Y933" i="1"/>
  <c r="V933" i="1"/>
  <c r="T933" i="1"/>
  <c r="S933" i="1"/>
  <c r="Q933" i="1"/>
  <c r="P933" i="1"/>
  <c r="AA933" i="1" s="1"/>
  <c r="O933" i="1"/>
  <c r="N933" i="1"/>
  <c r="Z933" i="1" s="1"/>
  <c r="L933" i="1"/>
  <c r="J933" i="1"/>
  <c r="H933" i="1"/>
  <c r="M933" i="1" s="1"/>
  <c r="R933" i="1"/>
  <c r="Y932" i="1"/>
  <c r="V932" i="1"/>
  <c r="T932" i="1"/>
  <c r="S932" i="1"/>
  <c r="Q932" i="1"/>
  <c r="P932" i="1"/>
  <c r="AA932" i="1" s="1"/>
  <c r="O932" i="1"/>
  <c r="N932" i="1"/>
  <c r="Z932" i="1" s="1"/>
  <c r="L932" i="1"/>
  <c r="K932" i="1"/>
  <c r="J932" i="1"/>
  <c r="H932" i="1"/>
  <c r="R932" i="1" s="1"/>
  <c r="Y931" i="1"/>
  <c r="V931" i="1"/>
  <c r="T931" i="1"/>
  <c r="S931" i="1"/>
  <c r="Q931" i="1"/>
  <c r="P931" i="1"/>
  <c r="AA931" i="1" s="1"/>
  <c r="O931" i="1"/>
  <c r="N931" i="1"/>
  <c r="Z931" i="1" s="1"/>
  <c r="L931" i="1"/>
  <c r="K931" i="1"/>
  <c r="J931" i="1"/>
  <c r="H931" i="1"/>
  <c r="R931" i="1" s="1"/>
  <c r="Y930" i="1"/>
  <c r="V930" i="1"/>
  <c r="T930" i="1"/>
  <c r="S930" i="1"/>
  <c r="Q930" i="1"/>
  <c r="P930" i="1"/>
  <c r="AA930" i="1" s="1"/>
  <c r="O930" i="1"/>
  <c r="N930" i="1"/>
  <c r="Z930" i="1" s="1"/>
  <c r="L930" i="1"/>
  <c r="K930" i="1"/>
  <c r="J930" i="1"/>
  <c r="H930" i="1"/>
  <c r="R930" i="1" s="1"/>
  <c r="Y929" i="1"/>
  <c r="V929" i="1"/>
  <c r="T929" i="1"/>
  <c r="S929" i="1"/>
  <c r="Q929" i="1"/>
  <c r="P929" i="1"/>
  <c r="AA929" i="1" s="1"/>
  <c r="O929" i="1"/>
  <c r="N929" i="1"/>
  <c r="Z929" i="1" s="1"/>
  <c r="L929" i="1"/>
  <c r="K929" i="1"/>
  <c r="J929" i="1"/>
  <c r="H929" i="1"/>
  <c r="R929" i="1" s="1"/>
  <c r="Y928" i="1"/>
  <c r="V928" i="1"/>
  <c r="T928" i="1"/>
  <c r="S928" i="1"/>
  <c r="Q928" i="1"/>
  <c r="P928" i="1"/>
  <c r="AA928" i="1" s="1"/>
  <c r="O928" i="1"/>
  <c r="N928" i="1"/>
  <c r="Z928" i="1" s="1"/>
  <c r="L928" i="1"/>
  <c r="J928" i="1"/>
  <c r="H928" i="1"/>
  <c r="M928" i="1" s="1"/>
  <c r="G937" i="1"/>
  <c r="Y927" i="1"/>
  <c r="V927" i="1"/>
  <c r="T927" i="1"/>
  <c r="S927" i="1"/>
  <c r="Q927" i="1"/>
  <c r="P927" i="1"/>
  <c r="AA927" i="1" s="1"/>
  <c r="O927" i="1"/>
  <c r="N927" i="1"/>
  <c r="Z927" i="1" s="1"/>
  <c r="L927" i="1"/>
  <c r="K927" i="1"/>
  <c r="J927" i="1"/>
  <c r="H927" i="1"/>
  <c r="R927" i="1" s="1"/>
  <c r="R937" i="1" l="1"/>
  <c r="K937" i="1"/>
  <c r="M927" i="1"/>
  <c r="W927" i="1"/>
  <c r="K928" i="1"/>
  <c r="R928" i="1"/>
  <c r="W928" i="1"/>
  <c r="M929" i="1"/>
  <c r="W929" i="1"/>
  <c r="M930" i="1"/>
  <c r="W930" i="1"/>
  <c r="M931" i="1"/>
  <c r="W931" i="1"/>
  <c r="M932" i="1"/>
  <c r="W932" i="1"/>
  <c r="K933" i="1"/>
  <c r="W933" i="1"/>
  <c r="M934" i="1"/>
  <c r="W934" i="1"/>
  <c r="W935" i="1"/>
  <c r="M936" i="1"/>
  <c r="W936" i="1"/>
  <c r="W937" i="1"/>
  <c r="M938" i="1"/>
  <c r="W938" i="1"/>
  <c r="J914" i="1"/>
  <c r="J915" i="1"/>
  <c r="J916" i="1"/>
  <c r="J917" i="1"/>
  <c r="J918" i="1"/>
  <c r="J919" i="1"/>
  <c r="J920" i="1"/>
  <c r="J921" i="1"/>
  <c r="J922" i="1"/>
  <c r="J923" i="1"/>
  <c r="J924" i="1"/>
  <c r="J913" i="1"/>
  <c r="G914" i="1"/>
  <c r="G919" i="1"/>
  <c r="AB914" i="1"/>
  <c r="AB915" i="1"/>
  <c r="AB916" i="1"/>
  <c r="AB917" i="1"/>
  <c r="AB918" i="1"/>
  <c r="AB919" i="1"/>
  <c r="AB920" i="1"/>
  <c r="AB921" i="1"/>
  <c r="AB922" i="1"/>
  <c r="AB923" i="1"/>
  <c r="AB924" i="1"/>
  <c r="AB913" i="1"/>
  <c r="Y924" i="1"/>
  <c r="V924" i="1"/>
  <c r="T924" i="1"/>
  <c r="S924" i="1"/>
  <c r="Q924" i="1"/>
  <c r="P924" i="1"/>
  <c r="AA924" i="1" s="1"/>
  <c r="O924" i="1"/>
  <c r="N924" i="1"/>
  <c r="Z924" i="1" s="1"/>
  <c r="L924" i="1"/>
  <c r="K924" i="1"/>
  <c r="H924" i="1"/>
  <c r="R924" i="1" s="1"/>
  <c r="Y923" i="1"/>
  <c r="V923" i="1"/>
  <c r="T923" i="1"/>
  <c r="S923" i="1"/>
  <c r="Q923" i="1"/>
  <c r="P923" i="1"/>
  <c r="AA923" i="1" s="1"/>
  <c r="O923" i="1"/>
  <c r="N923" i="1"/>
  <c r="Z923" i="1" s="1"/>
  <c r="L923" i="1"/>
  <c r="H923" i="1"/>
  <c r="M923" i="1" s="1"/>
  <c r="Y922" i="1"/>
  <c r="V922" i="1"/>
  <c r="T922" i="1"/>
  <c r="S922" i="1"/>
  <c r="Q922" i="1"/>
  <c r="P922" i="1"/>
  <c r="AA922" i="1" s="1"/>
  <c r="O922" i="1"/>
  <c r="N922" i="1"/>
  <c r="Z922" i="1" s="1"/>
  <c r="L922" i="1"/>
  <c r="K922" i="1"/>
  <c r="H922" i="1"/>
  <c r="R922" i="1" s="1"/>
  <c r="Y921" i="1"/>
  <c r="V921" i="1"/>
  <c r="T921" i="1"/>
  <c r="S921" i="1"/>
  <c r="Q921" i="1"/>
  <c r="P921" i="1"/>
  <c r="AA921" i="1" s="1"/>
  <c r="O921" i="1"/>
  <c r="N921" i="1"/>
  <c r="Z921" i="1" s="1"/>
  <c r="L921" i="1"/>
  <c r="K921" i="1"/>
  <c r="H921" i="1"/>
  <c r="R921" i="1" s="1"/>
  <c r="Y920" i="1"/>
  <c r="V920" i="1"/>
  <c r="T920" i="1"/>
  <c r="S920" i="1"/>
  <c r="Q920" i="1"/>
  <c r="P920" i="1"/>
  <c r="AA920" i="1" s="1"/>
  <c r="O920" i="1"/>
  <c r="N920" i="1"/>
  <c r="Z920" i="1" s="1"/>
  <c r="L920" i="1"/>
  <c r="K920" i="1"/>
  <c r="H920" i="1"/>
  <c r="R920" i="1" s="1"/>
  <c r="Y919" i="1"/>
  <c r="V919" i="1"/>
  <c r="T919" i="1"/>
  <c r="S919" i="1"/>
  <c r="Q919" i="1"/>
  <c r="P919" i="1"/>
  <c r="AA919" i="1" s="1"/>
  <c r="O919" i="1"/>
  <c r="N919" i="1"/>
  <c r="Z919" i="1" s="1"/>
  <c r="L919" i="1"/>
  <c r="H919" i="1"/>
  <c r="M919" i="1" s="1"/>
  <c r="R919" i="1"/>
  <c r="Y918" i="1"/>
  <c r="V918" i="1"/>
  <c r="T918" i="1"/>
  <c r="S918" i="1"/>
  <c r="Q918" i="1"/>
  <c r="P918" i="1"/>
  <c r="AA918" i="1" s="1"/>
  <c r="O918" i="1"/>
  <c r="N918" i="1"/>
  <c r="Z918" i="1" s="1"/>
  <c r="L918" i="1"/>
  <c r="K918" i="1"/>
  <c r="H918" i="1"/>
  <c r="R918" i="1" s="1"/>
  <c r="Y917" i="1"/>
  <c r="V917" i="1"/>
  <c r="T917" i="1"/>
  <c r="S917" i="1"/>
  <c r="Q917" i="1"/>
  <c r="P917" i="1"/>
  <c r="AA917" i="1" s="1"/>
  <c r="O917" i="1"/>
  <c r="N917" i="1"/>
  <c r="Z917" i="1" s="1"/>
  <c r="L917" i="1"/>
  <c r="K917" i="1"/>
  <c r="H917" i="1"/>
  <c r="R917" i="1" s="1"/>
  <c r="Y916" i="1"/>
  <c r="V916" i="1"/>
  <c r="T916" i="1"/>
  <c r="S916" i="1"/>
  <c r="Q916" i="1"/>
  <c r="P916" i="1"/>
  <c r="AA916" i="1" s="1"/>
  <c r="O916" i="1"/>
  <c r="N916" i="1"/>
  <c r="Z916" i="1" s="1"/>
  <c r="L916" i="1"/>
  <c r="K916" i="1"/>
  <c r="H916" i="1"/>
  <c r="R916" i="1" s="1"/>
  <c r="Y915" i="1"/>
  <c r="V915" i="1"/>
  <c r="T915" i="1"/>
  <c r="S915" i="1"/>
  <c r="Q915" i="1"/>
  <c r="P915" i="1"/>
  <c r="AA915" i="1" s="1"/>
  <c r="O915" i="1"/>
  <c r="N915" i="1"/>
  <c r="Z915" i="1" s="1"/>
  <c r="L915" i="1"/>
  <c r="K915" i="1"/>
  <c r="H915" i="1"/>
  <c r="R915" i="1" s="1"/>
  <c r="Y914" i="1"/>
  <c r="V914" i="1"/>
  <c r="T914" i="1"/>
  <c r="S914" i="1"/>
  <c r="Q914" i="1"/>
  <c r="P914" i="1"/>
  <c r="AA914" i="1" s="1"/>
  <c r="O914" i="1"/>
  <c r="N914" i="1"/>
  <c r="Z914" i="1" s="1"/>
  <c r="L914" i="1"/>
  <c r="H914" i="1"/>
  <c r="M914" i="1" s="1"/>
  <c r="G923" i="1"/>
  <c r="Y913" i="1"/>
  <c r="V913" i="1"/>
  <c r="T913" i="1"/>
  <c r="S913" i="1"/>
  <c r="Q913" i="1"/>
  <c r="P913" i="1"/>
  <c r="AA913" i="1" s="1"/>
  <c r="O913" i="1"/>
  <c r="N913" i="1"/>
  <c r="Z913" i="1" s="1"/>
  <c r="L913" i="1"/>
  <c r="K913" i="1"/>
  <c r="H913" i="1"/>
  <c r="R913" i="1" s="1"/>
  <c r="X928" i="1" l="1"/>
  <c r="X929" i="1"/>
  <c r="X930" i="1"/>
  <c r="X931" i="1"/>
  <c r="X932" i="1"/>
  <c r="X933" i="1"/>
  <c r="X934" i="1"/>
  <c r="X935" i="1"/>
  <c r="X937" i="1"/>
  <c r="X938" i="1"/>
  <c r="X927" i="1"/>
  <c r="X936" i="1"/>
  <c r="R923" i="1"/>
  <c r="K923" i="1"/>
  <c r="M913" i="1"/>
  <c r="W913" i="1"/>
  <c r="K914" i="1"/>
  <c r="R914" i="1"/>
  <c r="W914" i="1"/>
  <c r="M915" i="1"/>
  <c r="W915" i="1"/>
  <c r="M916" i="1"/>
  <c r="W916" i="1"/>
  <c r="M917" i="1"/>
  <c r="W917" i="1"/>
  <c r="M918" i="1"/>
  <c r="W918" i="1"/>
  <c r="K919" i="1"/>
  <c r="W919" i="1"/>
  <c r="M920" i="1"/>
  <c r="W920" i="1"/>
  <c r="W921" i="1"/>
  <c r="M922" i="1"/>
  <c r="W922" i="1"/>
  <c r="W923" i="1"/>
  <c r="M924" i="1"/>
  <c r="W924" i="1"/>
  <c r="T900" i="1"/>
  <c r="T901" i="1"/>
  <c r="T902" i="1"/>
  <c r="T903" i="1"/>
  <c r="T904" i="1"/>
  <c r="T905" i="1"/>
  <c r="T906" i="1"/>
  <c r="T907" i="1"/>
  <c r="T908" i="1"/>
  <c r="T909" i="1"/>
  <c r="T910" i="1"/>
  <c r="S900" i="1"/>
  <c r="S901" i="1"/>
  <c r="S902" i="1"/>
  <c r="S903" i="1"/>
  <c r="S904" i="1"/>
  <c r="S905" i="1"/>
  <c r="S906" i="1"/>
  <c r="S907" i="1"/>
  <c r="S908" i="1"/>
  <c r="S909" i="1"/>
  <c r="S910" i="1"/>
  <c r="T899" i="1"/>
  <c r="S899" i="1"/>
  <c r="AB886" i="1"/>
  <c r="AB887" i="1"/>
  <c r="AB888" i="1"/>
  <c r="AB889" i="1"/>
  <c r="AB890" i="1"/>
  <c r="AB891" i="1"/>
  <c r="AB892" i="1"/>
  <c r="AB893" i="1"/>
  <c r="AB894" i="1"/>
  <c r="AB895" i="1"/>
  <c r="AB896" i="1"/>
  <c r="AB885" i="1"/>
  <c r="AB900" i="1"/>
  <c r="AB901" i="1"/>
  <c r="AB902" i="1"/>
  <c r="AB903" i="1"/>
  <c r="AB904" i="1"/>
  <c r="AB905" i="1"/>
  <c r="AB906" i="1"/>
  <c r="AB907" i="1"/>
  <c r="AB908" i="1"/>
  <c r="AB909" i="1"/>
  <c r="AB910" i="1"/>
  <c r="AB899" i="1"/>
  <c r="G900" i="1"/>
  <c r="G905" i="1"/>
  <c r="Y910" i="1"/>
  <c r="V910" i="1"/>
  <c r="Q910" i="1"/>
  <c r="P910" i="1"/>
  <c r="AA910" i="1" s="1"/>
  <c r="O910" i="1"/>
  <c r="N910" i="1"/>
  <c r="Z910" i="1" s="1"/>
  <c r="L910" i="1"/>
  <c r="K910" i="1"/>
  <c r="H910" i="1"/>
  <c r="R910" i="1" s="1"/>
  <c r="Y909" i="1"/>
  <c r="V909" i="1"/>
  <c r="Q909" i="1"/>
  <c r="P909" i="1"/>
  <c r="AA909" i="1" s="1"/>
  <c r="O909" i="1"/>
  <c r="N909" i="1"/>
  <c r="Z909" i="1" s="1"/>
  <c r="L909" i="1"/>
  <c r="W909" i="1" s="1"/>
  <c r="H909" i="1"/>
  <c r="Y908" i="1"/>
  <c r="V908" i="1"/>
  <c r="Q908" i="1"/>
  <c r="P908" i="1"/>
  <c r="AA908" i="1" s="1"/>
  <c r="O908" i="1"/>
  <c r="N908" i="1"/>
  <c r="Z908" i="1" s="1"/>
  <c r="L908" i="1"/>
  <c r="K908" i="1"/>
  <c r="H908" i="1"/>
  <c r="R908" i="1" s="1"/>
  <c r="Y907" i="1"/>
  <c r="V907" i="1"/>
  <c r="Q907" i="1"/>
  <c r="P907" i="1"/>
  <c r="AA907" i="1" s="1"/>
  <c r="O907" i="1"/>
  <c r="N907" i="1"/>
  <c r="Z907" i="1" s="1"/>
  <c r="L907" i="1"/>
  <c r="K907" i="1"/>
  <c r="H907" i="1"/>
  <c r="R907" i="1" s="1"/>
  <c r="Y906" i="1"/>
  <c r="V906" i="1"/>
  <c r="Q906" i="1"/>
  <c r="P906" i="1"/>
  <c r="AA906" i="1" s="1"/>
  <c r="O906" i="1"/>
  <c r="N906" i="1"/>
  <c r="Z906" i="1" s="1"/>
  <c r="L906" i="1"/>
  <c r="K906" i="1"/>
  <c r="H906" i="1"/>
  <c r="R906" i="1" s="1"/>
  <c r="Y905" i="1"/>
  <c r="V905" i="1"/>
  <c r="Q905" i="1"/>
  <c r="P905" i="1"/>
  <c r="AA905" i="1" s="1"/>
  <c r="O905" i="1"/>
  <c r="N905" i="1"/>
  <c r="Z905" i="1" s="1"/>
  <c r="L905" i="1"/>
  <c r="W905" i="1" s="1"/>
  <c r="H905" i="1"/>
  <c r="G909" i="1"/>
  <c r="R909" i="1" s="1"/>
  <c r="Y904" i="1"/>
  <c r="V904" i="1"/>
  <c r="Q904" i="1"/>
  <c r="P904" i="1"/>
  <c r="AA904" i="1" s="1"/>
  <c r="O904" i="1"/>
  <c r="N904" i="1"/>
  <c r="Z904" i="1" s="1"/>
  <c r="L904" i="1"/>
  <c r="K904" i="1"/>
  <c r="H904" i="1"/>
  <c r="R904" i="1" s="1"/>
  <c r="Y903" i="1"/>
  <c r="V903" i="1"/>
  <c r="Q903" i="1"/>
  <c r="P903" i="1"/>
  <c r="AA903" i="1" s="1"/>
  <c r="O903" i="1"/>
  <c r="N903" i="1"/>
  <c r="Z903" i="1" s="1"/>
  <c r="L903" i="1"/>
  <c r="K903" i="1"/>
  <c r="H903" i="1"/>
  <c r="R903" i="1" s="1"/>
  <c r="Y902" i="1"/>
  <c r="V902" i="1"/>
  <c r="Q902" i="1"/>
  <c r="P902" i="1"/>
  <c r="AA902" i="1" s="1"/>
  <c r="O902" i="1"/>
  <c r="N902" i="1"/>
  <c r="Z902" i="1" s="1"/>
  <c r="L902" i="1"/>
  <c r="K902" i="1"/>
  <c r="H902" i="1"/>
  <c r="R902" i="1" s="1"/>
  <c r="Y901" i="1"/>
  <c r="V901" i="1"/>
  <c r="Q901" i="1"/>
  <c r="P901" i="1"/>
  <c r="AA901" i="1" s="1"/>
  <c r="O901" i="1"/>
  <c r="N901" i="1"/>
  <c r="Z901" i="1" s="1"/>
  <c r="L901" i="1"/>
  <c r="K901" i="1"/>
  <c r="H901" i="1"/>
  <c r="R901" i="1" s="1"/>
  <c r="Y900" i="1"/>
  <c r="V900" i="1"/>
  <c r="Q900" i="1"/>
  <c r="P900" i="1"/>
  <c r="AA900" i="1" s="1"/>
  <c r="O900" i="1"/>
  <c r="N900" i="1"/>
  <c r="Z900" i="1" s="1"/>
  <c r="L900" i="1"/>
  <c r="K900" i="1"/>
  <c r="H900" i="1"/>
  <c r="R900" i="1" s="1"/>
  <c r="Y899" i="1"/>
  <c r="V899" i="1"/>
  <c r="Q899" i="1"/>
  <c r="P899" i="1"/>
  <c r="AA899" i="1" s="1"/>
  <c r="O899" i="1"/>
  <c r="N899" i="1"/>
  <c r="Z899" i="1" s="1"/>
  <c r="L899" i="1"/>
  <c r="K899" i="1"/>
  <c r="H899" i="1"/>
  <c r="R899" i="1" s="1"/>
  <c r="X914" i="1" l="1"/>
  <c r="X920" i="1"/>
  <c r="X921" i="1"/>
  <c r="X922" i="1"/>
  <c r="X923" i="1"/>
  <c r="X913" i="1"/>
  <c r="X924" i="1"/>
  <c r="X918" i="1"/>
  <c r="X917" i="1"/>
  <c r="X916" i="1"/>
  <c r="X915" i="1"/>
  <c r="X919" i="1"/>
  <c r="W899" i="1"/>
  <c r="W900" i="1"/>
  <c r="W901" i="1"/>
  <c r="W902" i="1"/>
  <c r="W903" i="1"/>
  <c r="W904" i="1"/>
  <c r="K905" i="1"/>
  <c r="R905" i="1"/>
  <c r="W906" i="1"/>
  <c r="W907" i="1"/>
  <c r="W908" i="1"/>
  <c r="M910" i="1"/>
  <c r="W910" i="1"/>
  <c r="K909" i="1"/>
  <c r="X900" i="1" l="1"/>
  <c r="X901" i="1"/>
  <c r="X902" i="1"/>
  <c r="X903" i="1"/>
  <c r="X905" i="1"/>
  <c r="X906" i="1"/>
  <c r="X907" i="1"/>
  <c r="X908" i="1"/>
  <c r="X899" i="1"/>
  <c r="X910" i="1"/>
  <c r="X909" i="1"/>
  <c r="X904" i="1"/>
  <c r="G891" i="1" l="1"/>
  <c r="Y896" i="1"/>
  <c r="V896" i="1"/>
  <c r="T896" i="1"/>
  <c r="S896" i="1"/>
  <c r="Q896" i="1"/>
  <c r="P896" i="1"/>
  <c r="AA896" i="1" s="1"/>
  <c r="O896" i="1"/>
  <c r="N896" i="1"/>
  <c r="Z896" i="1" s="1"/>
  <c r="L896" i="1"/>
  <c r="K896" i="1"/>
  <c r="H896" i="1"/>
  <c r="Y895" i="1"/>
  <c r="V895" i="1"/>
  <c r="T895" i="1"/>
  <c r="S895" i="1"/>
  <c r="Q895" i="1"/>
  <c r="P895" i="1"/>
  <c r="AA895" i="1" s="1"/>
  <c r="O895" i="1"/>
  <c r="N895" i="1"/>
  <c r="Z895" i="1" s="1"/>
  <c r="L895" i="1"/>
  <c r="H895" i="1"/>
  <c r="Y894" i="1"/>
  <c r="V894" i="1"/>
  <c r="T894" i="1"/>
  <c r="S894" i="1"/>
  <c r="Q894" i="1"/>
  <c r="P894" i="1"/>
  <c r="AA894" i="1" s="1"/>
  <c r="O894" i="1"/>
  <c r="N894" i="1"/>
  <c r="Z894" i="1" s="1"/>
  <c r="L894" i="1"/>
  <c r="K894" i="1"/>
  <c r="H894" i="1"/>
  <c r="R894" i="1" s="1"/>
  <c r="Y893" i="1"/>
  <c r="V893" i="1"/>
  <c r="T893" i="1"/>
  <c r="S893" i="1"/>
  <c r="Q893" i="1"/>
  <c r="P893" i="1"/>
  <c r="AA893" i="1" s="1"/>
  <c r="O893" i="1"/>
  <c r="N893" i="1"/>
  <c r="Z893" i="1" s="1"/>
  <c r="L893" i="1"/>
  <c r="K893" i="1"/>
  <c r="H893" i="1"/>
  <c r="Y892" i="1"/>
  <c r="V892" i="1"/>
  <c r="T892" i="1"/>
  <c r="S892" i="1"/>
  <c r="Q892" i="1"/>
  <c r="P892" i="1"/>
  <c r="AA892" i="1" s="1"/>
  <c r="O892" i="1"/>
  <c r="N892" i="1"/>
  <c r="Z892" i="1" s="1"/>
  <c r="L892" i="1"/>
  <c r="K892" i="1"/>
  <c r="H892" i="1"/>
  <c r="Y891" i="1"/>
  <c r="V891" i="1"/>
  <c r="T891" i="1"/>
  <c r="S891" i="1"/>
  <c r="Q891" i="1"/>
  <c r="P891" i="1"/>
  <c r="AA891" i="1" s="1"/>
  <c r="O891" i="1"/>
  <c r="N891" i="1"/>
  <c r="Z891" i="1" s="1"/>
  <c r="L891" i="1"/>
  <c r="H891" i="1"/>
  <c r="M904" i="1" s="1"/>
  <c r="G895" i="1"/>
  <c r="Y890" i="1"/>
  <c r="V890" i="1"/>
  <c r="T890" i="1"/>
  <c r="S890" i="1"/>
  <c r="Q890" i="1"/>
  <c r="P890" i="1"/>
  <c r="AA890" i="1" s="1"/>
  <c r="O890" i="1"/>
  <c r="N890" i="1"/>
  <c r="Z890" i="1" s="1"/>
  <c r="L890" i="1"/>
  <c r="K890" i="1"/>
  <c r="H890" i="1"/>
  <c r="Y889" i="1"/>
  <c r="V889" i="1"/>
  <c r="T889" i="1"/>
  <c r="S889" i="1"/>
  <c r="Q889" i="1"/>
  <c r="P889" i="1"/>
  <c r="AA889" i="1" s="1"/>
  <c r="O889" i="1"/>
  <c r="N889" i="1"/>
  <c r="Z889" i="1" s="1"/>
  <c r="L889" i="1"/>
  <c r="K889" i="1"/>
  <c r="H889" i="1"/>
  <c r="Y888" i="1"/>
  <c r="V888" i="1"/>
  <c r="T888" i="1"/>
  <c r="S888" i="1"/>
  <c r="Q888" i="1"/>
  <c r="P888" i="1"/>
  <c r="AA888" i="1" s="1"/>
  <c r="O888" i="1"/>
  <c r="N888" i="1"/>
  <c r="Z888" i="1" s="1"/>
  <c r="L888" i="1"/>
  <c r="K888" i="1"/>
  <c r="H888" i="1"/>
  <c r="Y887" i="1"/>
  <c r="V887" i="1"/>
  <c r="T887" i="1"/>
  <c r="S887" i="1"/>
  <c r="Q887" i="1"/>
  <c r="P887" i="1"/>
  <c r="AA887" i="1" s="1"/>
  <c r="O887" i="1"/>
  <c r="N887" i="1"/>
  <c r="Z887" i="1" s="1"/>
  <c r="L887" i="1"/>
  <c r="K887" i="1"/>
  <c r="H887" i="1"/>
  <c r="Y886" i="1"/>
  <c r="V886" i="1"/>
  <c r="T886" i="1"/>
  <c r="S886" i="1"/>
  <c r="Q886" i="1"/>
  <c r="P886" i="1"/>
  <c r="AA886" i="1" s="1"/>
  <c r="O886" i="1"/>
  <c r="N886" i="1"/>
  <c r="Z886" i="1" s="1"/>
  <c r="L886" i="1"/>
  <c r="K886" i="1"/>
  <c r="H886" i="1"/>
  <c r="Y885" i="1"/>
  <c r="V885" i="1"/>
  <c r="T885" i="1"/>
  <c r="S885" i="1"/>
  <c r="Q885" i="1"/>
  <c r="P885" i="1"/>
  <c r="AA885" i="1" s="1"/>
  <c r="O885" i="1"/>
  <c r="N885" i="1"/>
  <c r="Z885" i="1" s="1"/>
  <c r="L885" i="1"/>
  <c r="K885" i="1"/>
  <c r="H885" i="1"/>
  <c r="R885" i="1" s="1"/>
  <c r="R886" i="1" l="1"/>
  <c r="M899" i="1"/>
  <c r="R887" i="1"/>
  <c r="M900" i="1"/>
  <c r="R888" i="1"/>
  <c r="M901" i="1"/>
  <c r="R889" i="1"/>
  <c r="M902" i="1"/>
  <c r="R890" i="1"/>
  <c r="M903" i="1"/>
  <c r="R892" i="1"/>
  <c r="M905" i="1"/>
  <c r="R893" i="1"/>
  <c r="M906" i="1"/>
  <c r="M908" i="1"/>
  <c r="R896" i="1"/>
  <c r="M909" i="1"/>
  <c r="R895" i="1"/>
  <c r="K895" i="1"/>
  <c r="W885" i="1"/>
  <c r="W886" i="1"/>
  <c r="W887" i="1"/>
  <c r="W888" i="1"/>
  <c r="W889" i="1"/>
  <c r="W890" i="1"/>
  <c r="K891" i="1"/>
  <c r="R891" i="1"/>
  <c r="W891" i="1"/>
  <c r="W892" i="1"/>
  <c r="W893" i="1"/>
  <c r="W894" i="1"/>
  <c r="W895" i="1"/>
  <c r="W896" i="1"/>
  <c r="T872" i="1"/>
  <c r="T873" i="1"/>
  <c r="T874" i="1"/>
  <c r="T875" i="1"/>
  <c r="T876" i="1"/>
  <c r="T877" i="1"/>
  <c r="T878" i="1"/>
  <c r="T879" i="1"/>
  <c r="T880" i="1"/>
  <c r="T881" i="1"/>
  <c r="T882" i="1"/>
  <c r="T871" i="1"/>
  <c r="S872" i="1"/>
  <c r="S873" i="1"/>
  <c r="S874" i="1"/>
  <c r="S875" i="1"/>
  <c r="S876" i="1"/>
  <c r="S877" i="1"/>
  <c r="S878" i="1"/>
  <c r="S879" i="1"/>
  <c r="S880" i="1"/>
  <c r="S881" i="1"/>
  <c r="S882" i="1"/>
  <c r="S871" i="1"/>
  <c r="G877" i="1"/>
  <c r="Y882" i="1"/>
  <c r="V882" i="1"/>
  <c r="Q882" i="1"/>
  <c r="P882" i="1"/>
  <c r="AA882" i="1" s="1"/>
  <c r="O882" i="1"/>
  <c r="N882" i="1"/>
  <c r="Z882" i="1" s="1"/>
  <c r="L882" i="1"/>
  <c r="K882" i="1"/>
  <c r="H882" i="1"/>
  <c r="R882" i="1" s="1"/>
  <c r="Y881" i="1"/>
  <c r="V881" i="1"/>
  <c r="Q881" i="1"/>
  <c r="P881" i="1"/>
  <c r="AA881" i="1" s="1"/>
  <c r="O881" i="1"/>
  <c r="N881" i="1"/>
  <c r="Z881" i="1" s="1"/>
  <c r="L881" i="1"/>
  <c r="H881" i="1"/>
  <c r="Y880" i="1"/>
  <c r="V880" i="1"/>
  <c r="Q880" i="1"/>
  <c r="P880" i="1"/>
  <c r="AA880" i="1" s="1"/>
  <c r="O880" i="1"/>
  <c r="N880" i="1"/>
  <c r="Z880" i="1" s="1"/>
  <c r="L880" i="1"/>
  <c r="K880" i="1"/>
  <c r="H880" i="1"/>
  <c r="R880" i="1" s="1"/>
  <c r="Y879" i="1"/>
  <c r="V879" i="1"/>
  <c r="Q879" i="1"/>
  <c r="P879" i="1"/>
  <c r="AA879" i="1" s="1"/>
  <c r="O879" i="1"/>
  <c r="N879" i="1"/>
  <c r="Z879" i="1" s="1"/>
  <c r="L879" i="1"/>
  <c r="K879" i="1"/>
  <c r="H879" i="1"/>
  <c r="R879" i="1" s="1"/>
  <c r="Y878" i="1"/>
  <c r="V878" i="1"/>
  <c r="Q878" i="1"/>
  <c r="P878" i="1"/>
  <c r="AA878" i="1" s="1"/>
  <c r="O878" i="1"/>
  <c r="N878" i="1"/>
  <c r="Z878" i="1" s="1"/>
  <c r="L878" i="1"/>
  <c r="K878" i="1"/>
  <c r="H878" i="1"/>
  <c r="R878" i="1" s="1"/>
  <c r="Y877" i="1"/>
  <c r="V877" i="1"/>
  <c r="Q877" i="1"/>
  <c r="P877" i="1"/>
  <c r="AA877" i="1" s="1"/>
  <c r="O877" i="1"/>
  <c r="N877" i="1"/>
  <c r="Z877" i="1" s="1"/>
  <c r="L877" i="1"/>
  <c r="H877" i="1"/>
  <c r="M891" i="1" s="1"/>
  <c r="G881" i="1"/>
  <c r="Y876" i="1"/>
  <c r="V876" i="1"/>
  <c r="Q876" i="1"/>
  <c r="P876" i="1"/>
  <c r="AA876" i="1" s="1"/>
  <c r="O876" i="1"/>
  <c r="N876" i="1"/>
  <c r="Z876" i="1" s="1"/>
  <c r="L876" i="1"/>
  <c r="K876" i="1"/>
  <c r="H876" i="1"/>
  <c r="R876" i="1" s="1"/>
  <c r="Y875" i="1"/>
  <c r="V875" i="1"/>
  <c r="Q875" i="1"/>
  <c r="P875" i="1"/>
  <c r="AA875" i="1" s="1"/>
  <c r="O875" i="1"/>
  <c r="N875" i="1"/>
  <c r="Z875" i="1" s="1"/>
  <c r="L875" i="1"/>
  <c r="K875" i="1"/>
  <c r="H875" i="1"/>
  <c r="R875" i="1" s="1"/>
  <c r="Y874" i="1"/>
  <c r="V874" i="1"/>
  <c r="Q874" i="1"/>
  <c r="P874" i="1"/>
  <c r="AA874" i="1" s="1"/>
  <c r="O874" i="1"/>
  <c r="N874" i="1"/>
  <c r="Z874" i="1" s="1"/>
  <c r="L874" i="1"/>
  <c r="K874" i="1"/>
  <c r="H874" i="1"/>
  <c r="R874" i="1" s="1"/>
  <c r="Y873" i="1"/>
  <c r="V873" i="1"/>
  <c r="Q873" i="1"/>
  <c r="P873" i="1"/>
  <c r="AA873" i="1" s="1"/>
  <c r="O873" i="1"/>
  <c r="N873" i="1"/>
  <c r="Z873" i="1" s="1"/>
  <c r="L873" i="1"/>
  <c r="K873" i="1"/>
  <c r="H873" i="1"/>
  <c r="R873" i="1" s="1"/>
  <c r="Y872" i="1"/>
  <c r="V872" i="1"/>
  <c r="Q872" i="1"/>
  <c r="P872" i="1"/>
  <c r="AA872" i="1" s="1"/>
  <c r="O872" i="1"/>
  <c r="N872" i="1"/>
  <c r="Z872" i="1" s="1"/>
  <c r="L872" i="1"/>
  <c r="K872" i="1"/>
  <c r="H872" i="1"/>
  <c r="R872" i="1" s="1"/>
  <c r="Y871" i="1"/>
  <c r="V871" i="1"/>
  <c r="Q871" i="1"/>
  <c r="P871" i="1"/>
  <c r="AA871" i="1" s="1"/>
  <c r="O871" i="1"/>
  <c r="N871" i="1"/>
  <c r="Z871" i="1" s="1"/>
  <c r="L871" i="1"/>
  <c r="K871" i="1"/>
  <c r="H871" i="1"/>
  <c r="R871" i="1" s="1"/>
  <c r="M896" i="1" l="1"/>
  <c r="M894" i="1"/>
  <c r="M892" i="1"/>
  <c r="M890" i="1"/>
  <c r="M889" i="1"/>
  <c r="M888" i="1"/>
  <c r="M887" i="1"/>
  <c r="M886" i="1"/>
  <c r="M885" i="1"/>
  <c r="M895" i="1"/>
  <c r="X886" i="1"/>
  <c r="X887" i="1"/>
  <c r="X888" i="1"/>
  <c r="X889" i="1"/>
  <c r="X890" i="1"/>
  <c r="X891" i="1"/>
  <c r="X892" i="1"/>
  <c r="X893" i="1"/>
  <c r="X894" i="1"/>
  <c r="X885" i="1"/>
  <c r="X896" i="1"/>
  <c r="X895" i="1"/>
  <c r="R881" i="1"/>
  <c r="K881" i="1"/>
  <c r="W871" i="1"/>
  <c r="W872" i="1"/>
  <c r="W873" i="1"/>
  <c r="W874" i="1"/>
  <c r="W875" i="1"/>
  <c r="W876" i="1"/>
  <c r="K877" i="1"/>
  <c r="R877" i="1"/>
  <c r="W877" i="1"/>
  <c r="W878" i="1"/>
  <c r="W879" i="1"/>
  <c r="W880" i="1"/>
  <c r="W881" i="1"/>
  <c r="W882" i="1"/>
  <c r="BL116" i="2"/>
  <c r="BL117" i="2"/>
  <c r="BL118" i="2"/>
  <c r="BL119" i="2"/>
  <c r="BL120" i="2"/>
  <c r="BL121" i="2"/>
  <c r="BL122" i="2"/>
  <c r="BL123" i="2"/>
  <c r="BL124" i="2"/>
  <c r="BL115" i="2"/>
  <c r="BL45" i="2"/>
  <c r="BL33" i="2"/>
  <c r="BL21" i="2"/>
  <c r="G863" i="1"/>
  <c r="BL9" i="2" s="1"/>
  <c r="H868" i="1"/>
  <c r="M882" i="1" s="1"/>
  <c r="H867" i="1"/>
  <c r="M881" i="1" s="1"/>
  <c r="G867" i="1"/>
  <c r="H866" i="1"/>
  <c r="H865" i="1"/>
  <c r="BL111" i="2" s="1"/>
  <c r="H864" i="1"/>
  <c r="H863" i="1"/>
  <c r="M877" i="1" s="1"/>
  <c r="H862" i="1"/>
  <c r="H861" i="1"/>
  <c r="H860" i="1"/>
  <c r="H859" i="1"/>
  <c r="H858" i="1"/>
  <c r="H857" i="1"/>
  <c r="BK116" i="2"/>
  <c r="BK117" i="2"/>
  <c r="BK118" i="2"/>
  <c r="BK119" i="2"/>
  <c r="BK120" i="2"/>
  <c r="BK121" i="2"/>
  <c r="BK122" i="2"/>
  <c r="BK123" i="2"/>
  <c r="BK124" i="2"/>
  <c r="BK115" i="2"/>
  <c r="BK45" i="2"/>
  <c r="BK33" i="2"/>
  <c r="BK21" i="2"/>
  <c r="G844" i="1"/>
  <c r="G849" i="1"/>
  <c r="BK9" i="2" s="1"/>
  <c r="M871" i="1" l="1"/>
  <c r="BL103" i="2"/>
  <c r="M872" i="1"/>
  <c r="BL104" i="2"/>
  <c r="M873" i="1"/>
  <c r="BL105" i="2"/>
  <c r="M874" i="1"/>
  <c r="BL106" i="2"/>
  <c r="M875" i="1"/>
  <c r="BL107" i="2"/>
  <c r="M876" i="1"/>
  <c r="BL108" i="2"/>
  <c r="M878" i="1"/>
  <c r="BL110" i="2"/>
  <c r="M880" i="1"/>
  <c r="BL112" i="2"/>
  <c r="X872" i="1"/>
  <c r="X873" i="1"/>
  <c r="X875" i="1"/>
  <c r="X876" i="1"/>
  <c r="X877" i="1"/>
  <c r="X878" i="1"/>
  <c r="X879" i="1"/>
  <c r="X880" i="1"/>
  <c r="X882" i="1"/>
  <c r="X871" i="1"/>
  <c r="X881" i="1"/>
  <c r="X874" i="1"/>
  <c r="BL109" i="2"/>
  <c r="E198" i="2"/>
  <c r="BJ45" i="2"/>
  <c r="BJ33" i="2"/>
  <c r="BJ21" i="2"/>
  <c r="BJ116" i="2"/>
  <c r="BJ117" i="2"/>
  <c r="BJ118" i="2"/>
  <c r="BJ119" i="2"/>
  <c r="BJ120" i="2"/>
  <c r="BJ121" i="2"/>
  <c r="BJ122" i="2"/>
  <c r="BJ123" i="2"/>
  <c r="BJ124" i="2"/>
  <c r="BJ115" i="2"/>
  <c r="G830" i="1"/>
  <c r="G835" i="1"/>
  <c r="BJ9" i="2" s="1"/>
  <c r="B76" i="2"/>
  <c r="B78" i="2"/>
  <c r="B79" i="2"/>
  <c r="B80" i="2"/>
  <c r="J198" i="2"/>
  <c r="K198" i="2"/>
  <c r="L198" i="2"/>
  <c r="I198" i="2"/>
  <c r="J197" i="2"/>
  <c r="K197" i="2"/>
  <c r="I197" i="2"/>
  <c r="J196" i="2"/>
  <c r="K196" i="2"/>
  <c r="I196" i="2"/>
  <c r="D198" i="2"/>
  <c r="F198" i="2"/>
  <c r="C198" i="2"/>
  <c r="D197" i="2"/>
  <c r="C197" i="2"/>
  <c r="D196" i="2"/>
  <c r="C196" i="2"/>
  <c r="BI45" i="2" l="1"/>
  <c r="BI116" i="2"/>
  <c r="BI117" i="2"/>
  <c r="BI118" i="2"/>
  <c r="BI119" i="2"/>
  <c r="BI120" i="2"/>
  <c r="BI121" i="2"/>
  <c r="BI122" i="2"/>
  <c r="BI123" i="2"/>
  <c r="BI124" i="2"/>
  <c r="BI115" i="2"/>
  <c r="BI33" i="2"/>
  <c r="BI21" i="2"/>
  <c r="G816" i="1"/>
  <c r="G821" i="1"/>
  <c r="BI9" i="2" s="1"/>
  <c r="J195" i="2"/>
  <c r="K195" i="2"/>
  <c r="I195" i="2"/>
  <c r="Y868" i="1"/>
  <c r="V868" i="1"/>
  <c r="T868" i="1"/>
  <c r="BL100" i="2" s="1"/>
  <c r="S868" i="1"/>
  <c r="BL86" i="2" s="1"/>
  <c r="Q868" i="1"/>
  <c r="BL60" i="2" s="1"/>
  <c r="P868" i="1"/>
  <c r="O868" i="1"/>
  <c r="BL36" i="2" s="1"/>
  <c r="N868" i="1"/>
  <c r="L868" i="1"/>
  <c r="BL24" i="2" s="1"/>
  <c r="K868" i="1"/>
  <c r="BL12" i="2" s="1"/>
  <c r="R868" i="1"/>
  <c r="Y867" i="1"/>
  <c r="V867" i="1"/>
  <c r="T867" i="1"/>
  <c r="BL99" i="2" s="1"/>
  <c r="S867" i="1"/>
  <c r="BL85" i="2" s="1"/>
  <c r="Q867" i="1"/>
  <c r="BL59" i="2" s="1"/>
  <c r="P867" i="1"/>
  <c r="O867" i="1"/>
  <c r="BL35" i="2" s="1"/>
  <c r="N867" i="1"/>
  <c r="L867" i="1"/>
  <c r="BL23" i="2" s="1"/>
  <c r="Y866" i="1"/>
  <c r="V866" i="1"/>
  <c r="T866" i="1"/>
  <c r="BL98" i="2" s="1"/>
  <c r="S866" i="1"/>
  <c r="BL84" i="2" s="1"/>
  <c r="Q866" i="1"/>
  <c r="BL58" i="2" s="1"/>
  <c r="P866" i="1"/>
  <c r="O866" i="1"/>
  <c r="BL34" i="2" s="1"/>
  <c r="N866" i="1"/>
  <c r="L866" i="1"/>
  <c r="BL22" i="2" s="1"/>
  <c r="K866" i="1"/>
  <c r="BL10" i="2" s="1"/>
  <c r="R866" i="1"/>
  <c r="Y865" i="1"/>
  <c r="V865" i="1"/>
  <c r="T865" i="1"/>
  <c r="BL97" i="2" s="1"/>
  <c r="S865" i="1"/>
  <c r="BL83" i="2" s="1"/>
  <c r="Q865" i="1"/>
  <c r="P865" i="1"/>
  <c r="AA865" i="1" s="1"/>
  <c r="O865" i="1"/>
  <c r="N865" i="1"/>
  <c r="Z865" i="1" s="1"/>
  <c r="L865" i="1"/>
  <c r="K865" i="1"/>
  <c r="R865" i="1"/>
  <c r="Y864" i="1"/>
  <c r="V864" i="1"/>
  <c r="T864" i="1"/>
  <c r="BL96" i="2" s="1"/>
  <c r="S864" i="1"/>
  <c r="BL82" i="2" s="1"/>
  <c r="Q864" i="1"/>
  <c r="P864" i="1"/>
  <c r="AA864" i="1" s="1"/>
  <c r="O864" i="1"/>
  <c r="N864" i="1"/>
  <c r="Z864" i="1" s="1"/>
  <c r="L864" i="1"/>
  <c r="K864" i="1"/>
  <c r="R864" i="1"/>
  <c r="Y863" i="1"/>
  <c r="V863" i="1"/>
  <c r="T863" i="1"/>
  <c r="BL95" i="2" s="1"/>
  <c r="S863" i="1"/>
  <c r="BL81" i="2" s="1"/>
  <c r="Q863" i="1"/>
  <c r="P863" i="1"/>
  <c r="O863" i="1"/>
  <c r="N863" i="1"/>
  <c r="Z863" i="1" s="1"/>
  <c r="L863" i="1"/>
  <c r="R863" i="1"/>
  <c r="Y862" i="1"/>
  <c r="V862" i="1"/>
  <c r="T862" i="1"/>
  <c r="BL94" i="2" s="1"/>
  <c r="S862" i="1"/>
  <c r="BL80" i="2" s="1"/>
  <c r="Q862" i="1"/>
  <c r="BL56" i="2" s="1"/>
  <c r="P862" i="1"/>
  <c r="O862" i="1"/>
  <c r="BL32" i="2" s="1"/>
  <c r="N862" i="1"/>
  <c r="L862" i="1"/>
  <c r="BL20" i="2" s="1"/>
  <c r="K862" i="1"/>
  <c r="BL8" i="2" s="1"/>
  <c r="R862" i="1"/>
  <c r="Y861" i="1"/>
  <c r="V861" i="1"/>
  <c r="T861" i="1"/>
  <c r="BL93" i="2" s="1"/>
  <c r="S861" i="1"/>
  <c r="BL79" i="2" s="1"/>
  <c r="Q861" i="1"/>
  <c r="BL55" i="2" s="1"/>
  <c r="P861" i="1"/>
  <c r="O861" i="1"/>
  <c r="BL31" i="2" s="1"/>
  <c r="N861" i="1"/>
  <c r="L861" i="1"/>
  <c r="BL19" i="2" s="1"/>
  <c r="K861" i="1"/>
  <c r="BL7" i="2" s="1"/>
  <c r="R861" i="1"/>
  <c r="Y860" i="1"/>
  <c r="V860" i="1"/>
  <c r="T860" i="1"/>
  <c r="BL92" i="2" s="1"/>
  <c r="S860" i="1"/>
  <c r="BL78" i="2" s="1"/>
  <c r="Q860" i="1"/>
  <c r="BL54" i="2" s="1"/>
  <c r="P860" i="1"/>
  <c r="O860" i="1"/>
  <c r="BL30" i="2" s="1"/>
  <c r="N860" i="1"/>
  <c r="L860" i="1"/>
  <c r="BL18" i="2" s="1"/>
  <c r="K860" i="1"/>
  <c r="BL6" i="2" s="1"/>
  <c r="R860" i="1"/>
  <c r="Y859" i="1"/>
  <c r="V859" i="1"/>
  <c r="T859" i="1"/>
  <c r="BL91" i="2" s="1"/>
  <c r="S859" i="1"/>
  <c r="BL77" i="2" s="1"/>
  <c r="Q859" i="1"/>
  <c r="BL53" i="2" s="1"/>
  <c r="P859" i="1"/>
  <c r="O859" i="1"/>
  <c r="BL29" i="2" s="1"/>
  <c r="N859" i="1"/>
  <c r="L859" i="1"/>
  <c r="BL17" i="2" s="1"/>
  <c r="K859" i="1"/>
  <c r="BL5" i="2" s="1"/>
  <c r="R859" i="1"/>
  <c r="Y858" i="1"/>
  <c r="V858" i="1"/>
  <c r="T858" i="1"/>
  <c r="BL90" i="2" s="1"/>
  <c r="S858" i="1"/>
  <c r="BL76" i="2" s="1"/>
  <c r="Q858" i="1"/>
  <c r="BL52" i="2" s="1"/>
  <c r="P858" i="1"/>
  <c r="O858" i="1"/>
  <c r="BL28" i="2" s="1"/>
  <c r="N858" i="1"/>
  <c r="L858" i="1"/>
  <c r="BL16" i="2" s="1"/>
  <c r="Y857" i="1"/>
  <c r="V857" i="1"/>
  <c r="T857" i="1"/>
  <c r="BL89" i="2" s="1"/>
  <c r="S857" i="1"/>
  <c r="BL75" i="2" s="1"/>
  <c r="Q857" i="1"/>
  <c r="BL51" i="2" s="1"/>
  <c r="P857" i="1"/>
  <c r="O857" i="1"/>
  <c r="BL27" i="2" s="1"/>
  <c r="N857" i="1"/>
  <c r="L857" i="1"/>
  <c r="BL15" i="2" s="1"/>
  <c r="K857" i="1"/>
  <c r="BL3" i="2" s="1"/>
  <c r="R857" i="1"/>
  <c r="Y854" i="1"/>
  <c r="V854" i="1"/>
  <c r="T854" i="1"/>
  <c r="BK100" i="2" s="1"/>
  <c r="S854" i="1"/>
  <c r="BK86" i="2" s="1"/>
  <c r="Q854" i="1"/>
  <c r="BK60" i="2" s="1"/>
  <c r="P854" i="1"/>
  <c r="O854" i="1"/>
  <c r="BK36" i="2" s="1"/>
  <c r="N854" i="1"/>
  <c r="L854" i="1"/>
  <c r="BK24" i="2" s="1"/>
  <c r="K854" i="1"/>
  <c r="BK12" i="2" s="1"/>
  <c r="H854" i="1"/>
  <c r="R854" i="1" s="1"/>
  <c r="Y853" i="1"/>
  <c r="V853" i="1"/>
  <c r="T853" i="1"/>
  <c r="BK99" i="2" s="1"/>
  <c r="S853" i="1"/>
  <c r="BK85" i="2" s="1"/>
  <c r="Q853" i="1"/>
  <c r="BK59" i="2" s="1"/>
  <c r="P853" i="1"/>
  <c r="O853" i="1"/>
  <c r="BK35" i="2" s="1"/>
  <c r="N853" i="1"/>
  <c r="L853" i="1"/>
  <c r="BK23" i="2" s="1"/>
  <c r="H853" i="1"/>
  <c r="F197" i="2" s="1"/>
  <c r="G198" i="2" s="1"/>
  <c r="Y852" i="1"/>
  <c r="V852" i="1"/>
  <c r="T852" i="1"/>
  <c r="BK98" i="2" s="1"/>
  <c r="S852" i="1"/>
  <c r="BK84" i="2" s="1"/>
  <c r="Q852" i="1"/>
  <c r="BK58" i="2" s="1"/>
  <c r="P852" i="1"/>
  <c r="O852" i="1"/>
  <c r="BK34" i="2" s="1"/>
  <c r="N852" i="1"/>
  <c r="L852" i="1"/>
  <c r="BK22" i="2" s="1"/>
  <c r="K852" i="1"/>
  <c r="BK10" i="2" s="1"/>
  <c r="H852" i="1"/>
  <c r="Y851" i="1"/>
  <c r="V851" i="1"/>
  <c r="T851" i="1"/>
  <c r="BK97" i="2" s="1"/>
  <c r="S851" i="1"/>
  <c r="BK83" i="2" s="1"/>
  <c r="Q851" i="1"/>
  <c r="P851" i="1"/>
  <c r="AA851" i="1" s="1"/>
  <c r="O851" i="1"/>
  <c r="N851" i="1"/>
  <c r="Z851" i="1" s="1"/>
  <c r="L851" i="1"/>
  <c r="K851" i="1"/>
  <c r="H851" i="1"/>
  <c r="Y850" i="1"/>
  <c r="V850" i="1"/>
  <c r="T850" i="1"/>
  <c r="BK96" i="2" s="1"/>
  <c r="S850" i="1"/>
  <c r="BK82" i="2" s="1"/>
  <c r="Q850" i="1"/>
  <c r="P850" i="1"/>
  <c r="AA850" i="1" s="1"/>
  <c r="O850" i="1"/>
  <c r="N850" i="1"/>
  <c r="Z850" i="1" s="1"/>
  <c r="L850" i="1"/>
  <c r="K850" i="1"/>
  <c r="H850" i="1"/>
  <c r="Y849" i="1"/>
  <c r="V849" i="1"/>
  <c r="T849" i="1"/>
  <c r="BK95" i="2" s="1"/>
  <c r="S849" i="1"/>
  <c r="BK81" i="2" s="1"/>
  <c r="Q849" i="1"/>
  <c r="P849" i="1"/>
  <c r="O849" i="1"/>
  <c r="N849" i="1"/>
  <c r="Z849" i="1" s="1"/>
  <c r="L849" i="1"/>
  <c r="H849" i="1"/>
  <c r="R849" i="1"/>
  <c r="Y848" i="1"/>
  <c r="V848" i="1"/>
  <c r="T848" i="1"/>
  <c r="BK94" i="2" s="1"/>
  <c r="S848" i="1"/>
  <c r="BK80" i="2" s="1"/>
  <c r="Q848" i="1"/>
  <c r="BK56" i="2" s="1"/>
  <c r="P848" i="1"/>
  <c r="O848" i="1"/>
  <c r="BK32" i="2" s="1"/>
  <c r="N848" i="1"/>
  <c r="L848" i="1"/>
  <c r="BK20" i="2" s="1"/>
  <c r="K848" i="1"/>
  <c r="BK8" i="2" s="1"/>
  <c r="H848" i="1"/>
  <c r="Y847" i="1"/>
  <c r="V847" i="1"/>
  <c r="T847" i="1"/>
  <c r="BK93" i="2" s="1"/>
  <c r="S847" i="1"/>
  <c r="BK79" i="2" s="1"/>
  <c r="Q847" i="1"/>
  <c r="BK55" i="2" s="1"/>
  <c r="P847" i="1"/>
  <c r="O847" i="1"/>
  <c r="BK31" i="2" s="1"/>
  <c r="N847" i="1"/>
  <c r="L847" i="1"/>
  <c r="BK19" i="2" s="1"/>
  <c r="K847" i="1"/>
  <c r="BK7" i="2" s="1"/>
  <c r="H847" i="1"/>
  <c r="Y846" i="1"/>
  <c r="V846" i="1"/>
  <c r="T846" i="1"/>
  <c r="BK92" i="2" s="1"/>
  <c r="S846" i="1"/>
  <c r="BK78" i="2" s="1"/>
  <c r="Q846" i="1"/>
  <c r="BK54" i="2" s="1"/>
  <c r="P846" i="1"/>
  <c r="O846" i="1"/>
  <c r="BK30" i="2" s="1"/>
  <c r="N846" i="1"/>
  <c r="L846" i="1"/>
  <c r="BK18" i="2" s="1"/>
  <c r="K846" i="1"/>
  <c r="BK6" i="2" s="1"/>
  <c r="H846" i="1"/>
  <c r="Y845" i="1"/>
  <c r="V845" i="1"/>
  <c r="T845" i="1"/>
  <c r="BK91" i="2" s="1"/>
  <c r="S845" i="1"/>
  <c r="BK77" i="2" s="1"/>
  <c r="Q845" i="1"/>
  <c r="BK53" i="2" s="1"/>
  <c r="P845" i="1"/>
  <c r="O845" i="1"/>
  <c r="BK29" i="2" s="1"/>
  <c r="N845" i="1"/>
  <c r="L845" i="1"/>
  <c r="BK17" i="2" s="1"/>
  <c r="K845" i="1"/>
  <c r="BK5" i="2" s="1"/>
  <c r="H845" i="1"/>
  <c r="BK105" i="2" s="1"/>
  <c r="Y844" i="1"/>
  <c r="V844" i="1"/>
  <c r="T844" i="1"/>
  <c r="BK90" i="2" s="1"/>
  <c r="S844" i="1"/>
  <c r="BK76" i="2" s="1"/>
  <c r="Q844" i="1"/>
  <c r="BK52" i="2" s="1"/>
  <c r="P844" i="1"/>
  <c r="O844" i="1"/>
  <c r="BK28" i="2" s="1"/>
  <c r="N844" i="1"/>
  <c r="L844" i="1"/>
  <c r="BK16" i="2" s="1"/>
  <c r="H844" i="1"/>
  <c r="G853" i="1"/>
  <c r="E197" i="2" s="1"/>
  <c r="Y843" i="1"/>
  <c r="V843" i="1"/>
  <c r="T843" i="1"/>
  <c r="BK89" i="2" s="1"/>
  <c r="S843" i="1"/>
  <c r="BK75" i="2" s="1"/>
  <c r="Q843" i="1"/>
  <c r="BK51" i="2" s="1"/>
  <c r="P843" i="1"/>
  <c r="O843" i="1"/>
  <c r="BK27" i="2" s="1"/>
  <c r="N843" i="1"/>
  <c r="L843" i="1"/>
  <c r="BK15" i="2" s="1"/>
  <c r="K843" i="1"/>
  <c r="BK3" i="2" s="1"/>
  <c r="H843" i="1"/>
  <c r="Y840" i="1"/>
  <c r="V840" i="1"/>
  <c r="T840" i="1"/>
  <c r="BJ100" i="2" s="1"/>
  <c r="S840" i="1"/>
  <c r="BJ86" i="2" s="1"/>
  <c r="Q840" i="1"/>
  <c r="BJ60" i="2" s="1"/>
  <c r="P840" i="1"/>
  <c r="O840" i="1"/>
  <c r="BJ36" i="2" s="1"/>
  <c r="N840" i="1"/>
  <c r="L840" i="1"/>
  <c r="BJ24" i="2" s="1"/>
  <c r="K840" i="1"/>
  <c r="BJ12" i="2" s="1"/>
  <c r="H840" i="1"/>
  <c r="R840" i="1" s="1"/>
  <c r="Y839" i="1"/>
  <c r="V839" i="1"/>
  <c r="T839" i="1"/>
  <c r="BJ99" i="2" s="1"/>
  <c r="S839" i="1"/>
  <c r="BJ85" i="2" s="1"/>
  <c r="Q839" i="1"/>
  <c r="BJ59" i="2" s="1"/>
  <c r="P839" i="1"/>
  <c r="O839" i="1"/>
  <c r="BJ35" i="2" s="1"/>
  <c r="N839" i="1"/>
  <c r="L839" i="1"/>
  <c r="BJ23" i="2" s="1"/>
  <c r="H839" i="1"/>
  <c r="F196" i="2" s="1"/>
  <c r="G197" i="2" s="1"/>
  <c r="Y838" i="1"/>
  <c r="V838" i="1"/>
  <c r="T838" i="1"/>
  <c r="BJ98" i="2" s="1"/>
  <c r="S838" i="1"/>
  <c r="BJ84" i="2" s="1"/>
  <c r="Q838" i="1"/>
  <c r="BJ58" i="2" s="1"/>
  <c r="P838" i="1"/>
  <c r="O838" i="1"/>
  <c r="BJ34" i="2" s="1"/>
  <c r="N838" i="1"/>
  <c r="L838" i="1"/>
  <c r="BJ22" i="2" s="1"/>
  <c r="K838" i="1"/>
  <c r="BJ10" i="2" s="1"/>
  <c r="H838" i="1"/>
  <c r="Y837" i="1"/>
  <c r="V837" i="1"/>
  <c r="T837" i="1"/>
  <c r="BJ97" i="2" s="1"/>
  <c r="S837" i="1"/>
  <c r="BJ83" i="2" s="1"/>
  <c r="Q837" i="1"/>
  <c r="P837" i="1"/>
  <c r="AA837" i="1" s="1"/>
  <c r="O837" i="1"/>
  <c r="N837" i="1"/>
  <c r="Z837" i="1" s="1"/>
  <c r="L837" i="1"/>
  <c r="K837" i="1"/>
  <c r="H837" i="1"/>
  <c r="Y836" i="1"/>
  <c r="V836" i="1"/>
  <c r="T836" i="1"/>
  <c r="BJ96" i="2" s="1"/>
  <c r="S836" i="1"/>
  <c r="BJ82" i="2" s="1"/>
  <c r="Q836" i="1"/>
  <c r="P836" i="1"/>
  <c r="AA836" i="1" s="1"/>
  <c r="O836" i="1"/>
  <c r="N836" i="1"/>
  <c r="Z836" i="1" s="1"/>
  <c r="L836" i="1"/>
  <c r="K836" i="1"/>
  <c r="H836" i="1"/>
  <c r="Y835" i="1"/>
  <c r="V835" i="1"/>
  <c r="T835" i="1"/>
  <c r="BJ95" i="2" s="1"/>
  <c r="S835" i="1"/>
  <c r="BJ81" i="2" s="1"/>
  <c r="Q835" i="1"/>
  <c r="P835" i="1"/>
  <c r="O835" i="1"/>
  <c r="N835" i="1"/>
  <c r="Z835" i="1" s="1"/>
  <c r="L835" i="1"/>
  <c r="H835" i="1"/>
  <c r="R835" i="1"/>
  <c r="Y834" i="1"/>
  <c r="V834" i="1"/>
  <c r="T834" i="1"/>
  <c r="BJ94" i="2" s="1"/>
  <c r="S834" i="1"/>
  <c r="BJ80" i="2" s="1"/>
  <c r="Q834" i="1"/>
  <c r="BJ56" i="2" s="1"/>
  <c r="P834" i="1"/>
  <c r="O834" i="1"/>
  <c r="BJ32" i="2" s="1"/>
  <c r="N834" i="1"/>
  <c r="L834" i="1"/>
  <c r="BJ20" i="2" s="1"/>
  <c r="K834" i="1"/>
  <c r="BJ8" i="2" s="1"/>
  <c r="H834" i="1"/>
  <c r="Y833" i="1"/>
  <c r="V833" i="1"/>
  <c r="T833" i="1"/>
  <c r="BJ93" i="2" s="1"/>
  <c r="S833" i="1"/>
  <c r="BJ79" i="2" s="1"/>
  <c r="Q833" i="1"/>
  <c r="BJ55" i="2" s="1"/>
  <c r="P833" i="1"/>
  <c r="O833" i="1"/>
  <c r="BJ31" i="2" s="1"/>
  <c r="N833" i="1"/>
  <c r="L833" i="1"/>
  <c r="BJ19" i="2" s="1"/>
  <c r="K833" i="1"/>
  <c r="BJ7" i="2" s="1"/>
  <c r="H833" i="1"/>
  <c r="Y832" i="1"/>
  <c r="V832" i="1"/>
  <c r="T832" i="1"/>
  <c r="BJ92" i="2" s="1"/>
  <c r="S832" i="1"/>
  <c r="BJ78" i="2" s="1"/>
  <c r="Q832" i="1"/>
  <c r="BJ54" i="2" s="1"/>
  <c r="P832" i="1"/>
  <c r="O832" i="1"/>
  <c r="BJ30" i="2" s="1"/>
  <c r="N832" i="1"/>
  <c r="L832" i="1"/>
  <c r="BJ18" i="2" s="1"/>
  <c r="K832" i="1"/>
  <c r="BJ6" i="2" s="1"/>
  <c r="H832" i="1"/>
  <c r="Y831" i="1"/>
  <c r="V831" i="1"/>
  <c r="T831" i="1"/>
  <c r="BJ91" i="2" s="1"/>
  <c r="S831" i="1"/>
  <c r="BJ77" i="2" s="1"/>
  <c r="Q831" i="1"/>
  <c r="BJ53" i="2" s="1"/>
  <c r="P831" i="1"/>
  <c r="O831" i="1"/>
  <c r="BJ29" i="2" s="1"/>
  <c r="N831" i="1"/>
  <c r="L831" i="1"/>
  <c r="BJ17" i="2" s="1"/>
  <c r="K831" i="1"/>
  <c r="BJ5" i="2" s="1"/>
  <c r="H831" i="1"/>
  <c r="Y830" i="1"/>
  <c r="V830" i="1"/>
  <c r="T830" i="1"/>
  <c r="BJ90" i="2" s="1"/>
  <c r="S830" i="1"/>
  <c r="BJ76" i="2" s="1"/>
  <c r="Q830" i="1"/>
  <c r="BJ52" i="2" s="1"/>
  <c r="P830" i="1"/>
  <c r="O830" i="1"/>
  <c r="BJ28" i="2" s="1"/>
  <c r="N830" i="1"/>
  <c r="L830" i="1"/>
  <c r="BJ16" i="2" s="1"/>
  <c r="H830" i="1"/>
  <c r="BJ104" i="2" s="1"/>
  <c r="G839" i="1"/>
  <c r="E196" i="2" s="1"/>
  <c r="Y829" i="1"/>
  <c r="V829" i="1"/>
  <c r="T829" i="1"/>
  <c r="BJ89" i="2" s="1"/>
  <c r="S829" i="1"/>
  <c r="BJ75" i="2" s="1"/>
  <c r="Q829" i="1"/>
  <c r="BJ51" i="2" s="1"/>
  <c r="P829" i="1"/>
  <c r="O829" i="1"/>
  <c r="BJ27" i="2" s="1"/>
  <c r="N829" i="1"/>
  <c r="L829" i="1"/>
  <c r="BJ15" i="2" s="1"/>
  <c r="K829" i="1"/>
  <c r="BJ3" i="2" s="1"/>
  <c r="H829" i="1"/>
  <c r="Y826" i="1"/>
  <c r="V826" i="1"/>
  <c r="T826" i="1"/>
  <c r="BI100" i="2" s="1"/>
  <c r="S826" i="1"/>
  <c r="BI86" i="2" s="1"/>
  <c r="Q826" i="1"/>
  <c r="BI60" i="2" s="1"/>
  <c r="P826" i="1"/>
  <c r="AA826" i="1" s="1"/>
  <c r="O826" i="1"/>
  <c r="BI36" i="2" s="1"/>
  <c r="N826" i="1"/>
  <c r="Z826" i="1" s="1"/>
  <c r="L826" i="1"/>
  <c r="K826" i="1"/>
  <c r="BI12" i="2" s="1"/>
  <c r="H826" i="1"/>
  <c r="R826" i="1" s="1"/>
  <c r="Y825" i="1"/>
  <c r="V825" i="1"/>
  <c r="T825" i="1"/>
  <c r="BI99" i="2" s="1"/>
  <c r="S825" i="1"/>
  <c r="BI85" i="2" s="1"/>
  <c r="Q825" i="1"/>
  <c r="BI59" i="2" s="1"/>
  <c r="P825" i="1"/>
  <c r="BI71" i="2" s="1"/>
  <c r="O825" i="1"/>
  <c r="BI35" i="2" s="1"/>
  <c r="N825" i="1"/>
  <c r="BI47" i="2" s="1"/>
  <c r="L825" i="1"/>
  <c r="H825" i="1"/>
  <c r="Y824" i="1"/>
  <c r="V824" i="1"/>
  <c r="T824" i="1"/>
  <c r="BI98" i="2" s="1"/>
  <c r="S824" i="1"/>
  <c r="BI84" i="2" s="1"/>
  <c r="Q824" i="1"/>
  <c r="BI58" i="2" s="1"/>
  <c r="P824" i="1"/>
  <c r="BI70" i="2" s="1"/>
  <c r="O824" i="1"/>
  <c r="BI34" i="2" s="1"/>
  <c r="N824" i="1"/>
  <c r="BI46" i="2" s="1"/>
  <c r="L824" i="1"/>
  <c r="K824" i="1"/>
  <c r="BI10" i="2" s="1"/>
  <c r="H824" i="1"/>
  <c r="BI112" i="2" s="1"/>
  <c r="Y823" i="1"/>
  <c r="V823" i="1"/>
  <c r="T823" i="1"/>
  <c r="BI97" i="2" s="1"/>
  <c r="S823" i="1"/>
  <c r="BI83" i="2" s="1"/>
  <c r="Q823" i="1"/>
  <c r="P823" i="1"/>
  <c r="AA823" i="1" s="1"/>
  <c r="O823" i="1"/>
  <c r="N823" i="1"/>
  <c r="Z823" i="1" s="1"/>
  <c r="L823" i="1"/>
  <c r="K823" i="1"/>
  <c r="H823" i="1"/>
  <c r="BI111" i="2" s="1"/>
  <c r="Y822" i="1"/>
  <c r="V822" i="1"/>
  <c r="T822" i="1"/>
  <c r="BI96" i="2" s="1"/>
  <c r="S822" i="1"/>
  <c r="BI82" i="2" s="1"/>
  <c r="Q822" i="1"/>
  <c r="P822" i="1"/>
  <c r="AA822" i="1" s="1"/>
  <c r="O822" i="1"/>
  <c r="N822" i="1"/>
  <c r="Z822" i="1" s="1"/>
  <c r="L822" i="1"/>
  <c r="K822" i="1"/>
  <c r="H822" i="1"/>
  <c r="R822" i="1" s="1"/>
  <c r="Y821" i="1"/>
  <c r="V821" i="1"/>
  <c r="T821" i="1"/>
  <c r="BI95" i="2" s="1"/>
  <c r="S821" i="1"/>
  <c r="BI81" i="2" s="1"/>
  <c r="Q821" i="1"/>
  <c r="P821" i="1"/>
  <c r="AA821" i="1" s="1"/>
  <c r="O821" i="1"/>
  <c r="N821" i="1"/>
  <c r="Z821" i="1" s="1"/>
  <c r="L821" i="1"/>
  <c r="H821" i="1"/>
  <c r="G825" i="1"/>
  <c r="Y820" i="1"/>
  <c r="V820" i="1"/>
  <c r="T820" i="1"/>
  <c r="BI94" i="2" s="1"/>
  <c r="S820" i="1"/>
  <c r="BI80" i="2" s="1"/>
  <c r="Q820" i="1"/>
  <c r="BI56" i="2" s="1"/>
  <c r="P820" i="1"/>
  <c r="AA820" i="1" s="1"/>
  <c r="O820" i="1"/>
  <c r="BI32" i="2" s="1"/>
  <c r="N820" i="1"/>
  <c r="BI44" i="2" s="1"/>
  <c r="L820" i="1"/>
  <c r="K820" i="1"/>
  <c r="BI8" i="2" s="1"/>
  <c r="H820" i="1"/>
  <c r="R820" i="1" s="1"/>
  <c r="Y819" i="1"/>
  <c r="V819" i="1"/>
  <c r="T819" i="1"/>
  <c r="BI93" i="2" s="1"/>
  <c r="S819" i="1"/>
  <c r="BI79" i="2" s="1"/>
  <c r="Q819" i="1"/>
  <c r="BI55" i="2" s="1"/>
  <c r="P819" i="1"/>
  <c r="AA819" i="1" s="1"/>
  <c r="O819" i="1"/>
  <c r="BI31" i="2" s="1"/>
  <c r="N819" i="1"/>
  <c r="Z819" i="1" s="1"/>
  <c r="L819" i="1"/>
  <c r="K819" i="1"/>
  <c r="BI7" i="2" s="1"/>
  <c r="H819" i="1"/>
  <c r="R819" i="1" s="1"/>
  <c r="Y818" i="1"/>
  <c r="V818" i="1"/>
  <c r="T818" i="1"/>
  <c r="BI92" i="2" s="1"/>
  <c r="S818" i="1"/>
  <c r="BI78" i="2" s="1"/>
  <c r="Q818" i="1"/>
  <c r="BI54" i="2" s="1"/>
  <c r="P818" i="1"/>
  <c r="BI66" i="2" s="1"/>
  <c r="O818" i="1"/>
  <c r="BI30" i="2" s="1"/>
  <c r="N818" i="1"/>
  <c r="BI42" i="2" s="1"/>
  <c r="L818" i="1"/>
  <c r="K818" i="1"/>
  <c r="BI6" i="2" s="1"/>
  <c r="H818" i="1"/>
  <c r="BI106" i="2" s="1"/>
  <c r="Y817" i="1"/>
  <c r="V817" i="1"/>
  <c r="T817" i="1"/>
  <c r="BI91" i="2" s="1"/>
  <c r="S817" i="1"/>
  <c r="BI77" i="2" s="1"/>
  <c r="Q817" i="1"/>
  <c r="BI53" i="2" s="1"/>
  <c r="P817" i="1"/>
  <c r="BI65" i="2" s="1"/>
  <c r="O817" i="1"/>
  <c r="BI29" i="2" s="1"/>
  <c r="N817" i="1"/>
  <c r="BI41" i="2" s="1"/>
  <c r="L817" i="1"/>
  <c r="K817" i="1"/>
  <c r="BI5" i="2" s="1"/>
  <c r="H817" i="1"/>
  <c r="BI105" i="2" s="1"/>
  <c r="Y816" i="1"/>
  <c r="V816" i="1"/>
  <c r="T816" i="1"/>
  <c r="BI90" i="2" s="1"/>
  <c r="S816" i="1"/>
  <c r="BI76" i="2" s="1"/>
  <c r="Q816" i="1"/>
  <c r="BI52" i="2" s="1"/>
  <c r="P816" i="1"/>
  <c r="AA816" i="1" s="1"/>
  <c r="O816" i="1"/>
  <c r="BI28" i="2" s="1"/>
  <c r="N816" i="1"/>
  <c r="Z816" i="1" s="1"/>
  <c r="L816" i="1"/>
  <c r="K816" i="1"/>
  <c r="BI4" i="2" s="1"/>
  <c r="H816" i="1"/>
  <c r="R816" i="1" s="1"/>
  <c r="Y815" i="1"/>
  <c r="V815" i="1"/>
  <c r="T815" i="1"/>
  <c r="BI89" i="2" s="1"/>
  <c r="S815" i="1"/>
  <c r="BI75" i="2" s="1"/>
  <c r="Q815" i="1"/>
  <c r="BI51" i="2" s="1"/>
  <c r="P815" i="1"/>
  <c r="AA815" i="1" s="1"/>
  <c r="O815" i="1"/>
  <c r="BI27" i="2" s="1"/>
  <c r="N815" i="1"/>
  <c r="Z815" i="1" s="1"/>
  <c r="L815" i="1"/>
  <c r="K815" i="1"/>
  <c r="BI3" i="2" s="1"/>
  <c r="H815" i="1"/>
  <c r="R815" i="1" s="1"/>
  <c r="G802" i="1"/>
  <c r="G788" i="1"/>
  <c r="T774" i="1"/>
  <c r="T775" i="1"/>
  <c r="T776" i="1"/>
  <c r="T777" i="1"/>
  <c r="T778" i="1"/>
  <c r="T779" i="1"/>
  <c r="T780" i="1"/>
  <c r="T781" i="1"/>
  <c r="T782" i="1"/>
  <c r="T783" i="1"/>
  <c r="T784" i="1"/>
  <c r="T773" i="1"/>
  <c r="S774" i="1"/>
  <c r="S775" i="1"/>
  <c r="S776" i="1"/>
  <c r="S777" i="1"/>
  <c r="S778" i="1"/>
  <c r="S779" i="1"/>
  <c r="S780" i="1"/>
  <c r="S781" i="1"/>
  <c r="S782" i="1"/>
  <c r="S783" i="1"/>
  <c r="S784" i="1"/>
  <c r="S773" i="1"/>
  <c r="T788" i="1"/>
  <c r="T789" i="1"/>
  <c r="T790" i="1"/>
  <c r="T791" i="1"/>
  <c r="T792" i="1"/>
  <c r="T793" i="1"/>
  <c r="T794" i="1"/>
  <c r="T795" i="1"/>
  <c r="T796" i="1"/>
  <c r="T797" i="1"/>
  <c r="T798" i="1"/>
  <c r="T787" i="1"/>
  <c r="S788" i="1"/>
  <c r="S789" i="1"/>
  <c r="S790" i="1"/>
  <c r="S791" i="1"/>
  <c r="S792" i="1"/>
  <c r="S793" i="1"/>
  <c r="S794" i="1"/>
  <c r="S795" i="1"/>
  <c r="S796" i="1"/>
  <c r="S797" i="1"/>
  <c r="S798" i="1"/>
  <c r="S787" i="1"/>
  <c r="T802" i="1"/>
  <c r="T803" i="1"/>
  <c r="T804" i="1"/>
  <c r="T805" i="1"/>
  <c r="T806" i="1"/>
  <c r="T807" i="1"/>
  <c r="T808" i="1"/>
  <c r="T809" i="1"/>
  <c r="T810" i="1"/>
  <c r="T811" i="1"/>
  <c r="T812" i="1"/>
  <c r="T801" i="1"/>
  <c r="S802" i="1"/>
  <c r="S803" i="1"/>
  <c r="S804" i="1"/>
  <c r="S805" i="1"/>
  <c r="S806" i="1"/>
  <c r="S807" i="1"/>
  <c r="S808" i="1"/>
  <c r="S809" i="1"/>
  <c r="S810" i="1"/>
  <c r="S811" i="1"/>
  <c r="S812" i="1"/>
  <c r="S801" i="1"/>
  <c r="BH116" i="2"/>
  <c r="BH117" i="2"/>
  <c r="BH118" i="2"/>
  <c r="BH119" i="2"/>
  <c r="BH120" i="2"/>
  <c r="BH121" i="2"/>
  <c r="BH122" i="2"/>
  <c r="BH123" i="2"/>
  <c r="BH124" i="2"/>
  <c r="BH115" i="2"/>
  <c r="BH90" i="2"/>
  <c r="BH91" i="2"/>
  <c r="BH92" i="2"/>
  <c r="BH93" i="2"/>
  <c r="BH94" i="2"/>
  <c r="BH95" i="2"/>
  <c r="BH96" i="2"/>
  <c r="BH97" i="2"/>
  <c r="BH98" i="2"/>
  <c r="BH99" i="2"/>
  <c r="BH100" i="2"/>
  <c r="BH89" i="2"/>
  <c r="BH76" i="2"/>
  <c r="BH77" i="2"/>
  <c r="BH78" i="2"/>
  <c r="BH79" i="2"/>
  <c r="BH80" i="2"/>
  <c r="BH81" i="2"/>
  <c r="BH82" i="2"/>
  <c r="BH83" i="2"/>
  <c r="BH84" i="2"/>
  <c r="BH85" i="2"/>
  <c r="BH86" i="2"/>
  <c r="BH75" i="2"/>
  <c r="BH45" i="2"/>
  <c r="BH33" i="2"/>
  <c r="BH21" i="2"/>
  <c r="BG116" i="2"/>
  <c r="BG117" i="2"/>
  <c r="BG118" i="2"/>
  <c r="BG119" i="2"/>
  <c r="BG120" i="2"/>
  <c r="BG121" i="2"/>
  <c r="BG122" i="2"/>
  <c r="BG123" i="2"/>
  <c r="BG124" i="2"/>
  <c r="BG115" i="2"/>
  <c r="BG90" i="2"/>
  <c r="BG91" i="2"/>
  <c r="BG92" i="2"/>
  <c r="BG93" i="2"/>
  <c r="BG94" i="2"/>
  <c r="BG95" i="2"/>
  <c r="BG96" i="2"/>
  <c r="BG97" i="2"/>
  <c r="BG98" i="2"/>
  <c r="BG99" i="2"/>
  <c r="BG100" i="2"/>
  <c r="BG89" i="2"/>
  <c r="BG76" i="2"/>
  <c r="BG77" i="2"/>
  <c r="BG78" i="2"/>
  <c r="BG79" i="2"/>
  <c r="BG80" i="2"/>
  <c r="BG81" i="2"/>
  <c r="BG82" i="2"/>
  <c r="BG83" i="2"/>
  <c r="BG84" i="2"/>
  <c r="BG85" i="2"/>
  <c r="BG86" i="2"/>
  <c r="BG75" i="2"/>
  <c r="BG45" i="2"/>
  <c r="BG33" i="2"/>
  <c r="BG21" i="2"/>
  <c r="J194" i="2"/>
  <c r="K194" i="2"/>
  <c r="D195" i="2"/>
  <c r="F195" i="2"/>
  <c r="C195" i="2"/>
  <c r="G196" i="2" s="1"/>
  <c r="D194" i="2"/>
  <c r="C194" i="2"/>
  <c r="D193" i="2"/>
  <c r="C193" i="2"/>
  <c r="G807" i="1"/>
  <c r="BH9" i="2" s="1"/>
  <c r="Y812" i="1"/>
  <c r="V812" i="1"/>
  <c r="Q812" i="1"/>
  <c r="BH60" i="2" s="1"/>
  <c r="P812" i="1"/>
  <c r="AA812" i="1" s="1"/>
  <c r="O812" i="1"/>
  <c r="BH36" i="2" s="1"/>
  <c r="N812" i="1"/>
  <c r="Z812" i="1" s="1"/>
  <c r="L812" i="1"/>
  <c r="K812" i="1"/>
  <c r="BH12" i="2" s="1"/>
  <c r="H812" i="1"/>
  <c r="R812" i="1" s="1"/>
  <c r="Y811" i="1"/>
  <c r="V811" i="1"/>
  <c r="Q811" i="1"/>
  <c r="BH59" i="2" s="1"/>
  <c r="P811" i="1"/>
  <c r="AA811" i="1" s="1"/>
  <c r="O811" i="1"/>
  <c r="BH35" i="2" s="1"/>
  <c r="N811" i="1"/>
  <c r="Z811" i="1" s="1"/>
  <c r="L811" i="1"/>
  <c r="H811" i="1"/>
  <c r="Y810" i="1"/>
  <c r="V810" i="1"/>
  <c r="Q810" i="1"/>
  <c r="BH58" i="2" s="1"/>
  <c r="P810" i="1"/>
  <c r="AA810" i="1" s="1"/>
  <c r="O810" i="1"/>
  <c r="BH34" i="2" s="1"/>
  <c r="N810" i="1"/>
  <c r="Z810" i="1" s="1"/>
  <c r="L810" i="1"/>
  <c r="K810" i="1"/>
  <c r="BH10" i="2" s="1"/>
  <c r="H810" i="1"/>
  <c r="R810" i="1" s="1"/>
  <c r="Y809" i="1"/>
  <c r="V809" i="1"/>
  <c r="Q809" i="1"/>
  <c r="P809" i="1"/>
  <c r="AA809" i="1" s="1"/>
  <c r="O809" i="1"/>
  <c r="N809" i="1"/>
  <c r="Z809" i="1" s="1"/>
  <c r="L809" i="1"/>
  <c r="K809" i="1"/>
  <c r="H809" i="1"/>
  <c r="R809" i="1" s="1"/>
  <c r="Y808" i="1"/>
  <c r="V808" i="1"/>
  <c r="Q808" i="1"/>
  <c r="P808" i="1"/>
  <c r="AA808" i="1" s="1"/>
  <c r="O808" i="1"/>
  <c r="N808" i="1"/>
  <c r="Z808" i="1" s="1"/>
  <c r="L808" i="1"/>
  <c r="K808" i="1"/>
  <c r="H808" i="1"/>
  <c r="R808" i="1" s="1"/>
  <c r="Y807" i="1"/>
  <c r="V807" i="1"/>
  <c r="Q807" i="1"/>
  <c r="P807" i="1"/>
  <c r="AA807" i="1" s="1"/>
  <c r="O807" i="1"/>
  <c r="N807" i="1"/>
  <c r="Z807" i="1" s="1"/>
  <c r="L807" i="1"/>
  <c r="H807" i="1"/>
  <c r="R807" i="1"/>
  <c r="Y806" i="1"/>
  <c r="V806" i="1"/>
  <c r="Q806" i="1"/>
  <c r="BH56" i="2" s="1"/>
  <c r="P806" i="1"/>
  <c r="AA806" i="1" s="1"/>
  <c r="O806" i="1"/>
  <c r="BH32" i="2" s="1"/>
  <c r="N806" i="1"/>
  <c r="Z806" i="1" s="1"/>
  <c r="L806" i="1"/>
  <c r="K806" i="1"/>
  <c r="BH8" i="2" s="1"/>
  <c r="H806" i="1"/>
  <c r="R806" i="1" s="1"/>
  <c r="Y805" i="1"/>
  <c r="V805" i="1"/>
  <c r="Q805" i="1"/>
  <c r="BH55" i="2" s="1"/>
  <c r="P805" i="1"/>
  <c r="AA805" i="1" s="1"/>
  <c r="O805" i="1"/>
  <c r="BH31" i="2" s="1"/>
  <c r="N805" i="1"/>
  <c r="Z805" i="1" s="1"/>
  <c r="L805" i="1"/>
  <c r="K805" i="1"/>
  <c r="BH7" i="2" s="1"/>
  <c r="H805" i="1"/>
  <c r="Y804" i="1"/>
  <c r="V804" i="1"/>
  <c r="Q804" i="1"/>
  <c r="BH54" i="2" s="1"/>
  <c r="P804" i="1"/>
  <c r="AA804" i="1" s="1"/>
  <c r="O804" i="1"/>
  <c r="BH30" i="2" s="1"/>
  <c r="N804" i="1"/>
  <c r="Z804" i="1" s="1"/>
  <c r="L804" i="1"/>
  <c r="K804" i="1"/>
  <c r="BH6" i="2" s="1"/>
  <c r="H804" i="1"/>
  <c r="R804" i="1" s="1"/>
  <c r="Y803" i="1"/>
  <c r="V803" i="1"/>
  <c r="Q803" i="1"/>
  <c r="BH53" i="2" s="1"/>
  <c r="P803" i="1"/>
  <c r="AA803" i="1" s="1"/>
  <c r="O803" i="1"/>
  <c r="BH29" i="2" s="1"/>
  <c r="N803" i="1"/>
  <c r="Z803" i="1" s="1"/>
  <c r="L803" i="1"/>
  <c r="K803" i="1"/>
  <c r="BH5" i="2" s="1"/>
  <c r="H803" i="1"/>
  <c r="R803" i="1" s="1"/>
  <c r="Y802" i="1"/>
  <c r="V802" i="1"/>
  <c r="Q802" i="1"/>
  <c r="BH52" i="2" s="1"/>
  <c r="P802" i="1"/>
  <c r="AA802" i="1" s="1"/>
  <c r="O802" i="1"/>
  <c r="BH28" i="2" s="1"/>
  <c r="N802" i="1"/>
  <c r="Z802" i="1" s="1"/>
  <c r="L802" i="1"/>
  <c r="H802" i="1"/>
  <c r="G811" i="1"/>
  <c r="E194" i="2" s="1"/>
  <c r="Y801" i="1"/>
  <c r="V801" i="1"/>
  <c r="Q801" i="1"/>
  <c r="BH51" i="2" s="1"/>
  <c r="P801" i="1"/>
  <c r="AA801" i="1" s="1"/>
  <c r="O801" i="1"/>
  <c r="BH27" i="2" s="1"/>
  <c r="N801" i="1"/>
  <c r="Z801" i="1" s="1"/>
  <c r="L801" i="1"/>
  <c r="K801" i="1"/>
  <c r="BH3" i="2" s="1"/>
  <c r="H801" i="1"/>
  <c r="R801" i="1" s="1"/>
  <c r="R843" i="1" l="1"/>
  <c r="BK103" i="2"/>
  <c r="Z843" i="1"/>
  <c r="BK39" i="2"/>
  <c r="AA843" i="1"/>
  <c r="BK63" i="2"/>
  <c r="M858" i="1"/>
  <c r="BK104" i="2"/>
  <c r="Z844" i="1"/>
  <c r="BK40" i="2"/>
  <c r="AA844" i="1"/>
  <c r="BK64" i="2"/>
  <c r="R846" i="1"/>
  <c r="BK106" i="2"/>
  <c r="Z846" i="1"/>
  <c r="BK42" i="2"/>
  <c r="AA846" i="1"/>
  <c r="BK66" i="2"/>
  <c r="R847" i="1"/>
  <c r="BK107" i="2"/>
  <c r="Z847" i="1"/>
  <c r="BK43" i="2"/>
  <c r="AA847" i="1"/>
  <c r="BK67" i="2"/>
  <c r="R848" i="1"/>
  <c r="BK108" i="2"/>
  <c r="Z848" i="1"/>
  <c r="BK44" i="2"/>
  <c r="AA848" i="1"/>
  <c r="BK68" i="2"/>
  <c r="AA849" i="1"/>
  <c r="BK69" i="2"/>
  <c r="R850" i="1"/>
  <c r="BK110" i="2"/>
  <c r="R851" i="1"/>
  <c r="BK111" i="2"/>
  <c r="R852" i="1"/>
  <c r="BK112" i="2"/>
  <c r="Z852" i="1"/>
  <c r="BK46" i="2"/>
  <c r="AA852" i="1"/>
  <c r="BK70" i="2"/>
  <c r="Z854" i="1"/>
  <c r="BK48" i="2"/>
  <c r="AA854" i="1"/>
  <c r="BK72" i="2"/>
  <c r="Z857" i="1"/>
  <c r="BL39" i="2"/>
  <c r="AA857" i="1"/>
  <c r="BL63" i="2"/>
  <c r="Z858" i="1"/>
  <c r="BL40" i="2"/>
  <c r="AA858" i="1"/>
  <c r="BL64" i="2"/>
  <c r="Z859" i="1"/>
  <c r="BL41" i="2"/>
  <c r="AA859" i="1"/>
  <c r="BL65" i="2"/>
  <c r="Z860" i="1"/>
  <c r="BL42" i="2"/>
  <c r="AA860" i="1"/>
  <c r="BL66" i="2"/>
  <c r="Z861" i="1"/>
  <c r="BL43" i="2"/>
  <c r="AA861" i="1"/>
  <c r="BL67" i="2"/>
  <c r="Z862" i="1"/>
  <c r="BL44" i="2"/>
  <c r="AA862" i="1"/>
  <c r="BL68" i="2"/>
  <c r="AA863" i="1"/>
  <c r="BL69" i="2"/>
  <c r="Z866" i="1"/>
  <c r="BL46" i="2"/>
  <c r="AA866" i="1"/>
  <c r="BL70" i="2"/>
  <c r="Z867" i="1"/>
  <c r="BL47" i="2"/>
  <c r="AA867" i="1"/>
  <c r="BL71" i="2"/>
  <c r="Z868" i="1"/>
  <c r="BL48" i="2"/>
  <c r="AA868" i="1"/>
  <c r="BL72" i="2"/>
  <c r="M863" i="1"/>
  <c r="BK109" i="2"/>
  <c r="BK57" i="2"/>
  <c r="Z845" i="1"/>
  <c r="BK41" i="2"/>
  <c r="AA845" i="1"/>
  <c r="BK65" i="2"/>
  <c r="AA853" i="1"/>
  <c r="BK71" i="2"/>
  <c r="Z853" i="1"/>
  <c r="BK47" i="2"/>
  <c r="BH104" i="2"/>
  <c r="R805" i="1"/>
  <c r="BH107" i="2"/>
  <c r="BH109" i="2"/>
  <c r="BH23" i="2"/>
  <c r="BH15" i="2"/>
  <c r="BH20" i="2"/>
  <c r="BH19" i="2"/>
  <c r="BH16" i="2"/>
  <c r="BH22" i="2"/>
  <c r="BH24" i="2"/>
  <c r="BH39" i="2"/>
  <c r="BH43" i="2"/>
  <c r="BH40" i="2"/>
  <c r="BH46" i="2"/>
  <c r="BH48" i="2"/>
  <c r="BH57" i="2"/>
  <c r="BH63" i="2"/>
  <c r="BH68" i="2"/>
  <c r="BH67" i="2"/>
  <c r="BH64" i="2"/>
  <c r="BH69" i="2"/>
  <c r="BH70" i="2"/>
  <c r="BH72" i="2"/>
  <c r="BH103" i="2"/>
  <c r="BH112" i="2"/>
  <c r="BH111" i="2"/>
  <c r="BH110" i="2"/>
  <c r="W816" i="1"/>
  <c r="BI17" i="2"/>
  <c r="BI18" i="2"/>
  <c r="Z820" i="1"/>
  <c r="M821" i="1"/>
  <c r="W821" i="1"/>
  <c r="R823" i="1"/>
  <c r="W823" i="1"/>
  <c r="M824" i="1"/>
  <c r="R824" i="1"/>
  <c r="W824" i="1"/>
  <c r="Z824" i="1"/>
  <c r="AA824" i="1"/>
  <c r="M825" i="1"/>
  <c r="R829" i="1"/>
  <c r="BJ103" i="2"/>
  <c r="Z829" i="1"/>
  <c r="BJ39" i="2"/>
  <c r="AA829" i="1"/>
  <c r="BJ63" i="2"/>
  <c r="Z830" i="1"/>
  <c r="BJ40" i="2"/>
  <c r="AA830" i="1"/>
  <c r="BJ64" i="2"/>
  <c r="R833" i="1"/>
  <c r="BJ107" i="2"/>
  <c r="Z833" i="1"/>
  <c r="BJ43" i="2"/>
  <c r="AA833" i="1"/>
  <c r="BJ67" i="2"/>
  <c r="R834" i="1"/>
  <c r="BJ108" i="2"/>
  <c r="Z834" i="1"/>
  <c r="BJ44" i="2"/>
  <c r="AA834" i="1"/>
  <c r="BJ68" i="2"/>
  <c r="BJ57" i="2"/>
  <c r="BJ109" i="2"/>
  <c r="AA835" i="1"/>
  <c r="BJ69" i="2"/>
  <c r="R836" i="1"/>
  <c r="BJ110" i="2"/>
  <c r="R837" i="1"/>
  <c r="BJ111" i="2"/>
  <c r="R838" i="1"/>
  <c r="BJ112" i="2"/>
  <c r="Z838" i="1"/>
  <c r="BJ46" i="2"/>
  <c r="AA838" i="1"/>
  <c r="BJ70" i="2"/>
  <c r="Z840" i="1"/>
  <c r="BJ48" i="2"/>
  <c r="AA840" i="1"/>
  <c r="BJ72" i="2"/>
  <c r="M867" i="1"/>
  <c r="BI15" i="2"/>
  <c r="BI20" i="2"/>
  <c r="BI19" i="2"/>
  <c r="BI16" i="2"/>
  <c r="BI22" i="2"/>
  <c r="BI24" i="2"/>
  <c r="BI39" i="2"/>
  <c r="BI43" i="2"/>
  <c r="BI40" i="2"/>
  <c r="BI48" i="2"/>
  <c r="BI57" i="2"/>
  <c r="BI63" i="2"/>
  <c r="BI68" i="2"/>
  <c r="BI67" i="2"/>
  <c r="BI64" i="2"/>
  <c r="BI69" i="2"/>
  <c r="BI72" i="2"/>
  <c r="BI103" i="2"/>
  <c r="BI110" i="2"/>
  <c r="BI109" i="2"/>
  <c r="BI108" i="2"/>
  <c r="BI107" i="2"/>
  <c r="BI104" i="2"/>
  <c r="R845" i="1"/>
  <c r="L197" i="2"/>
  <c r="M198" i="2" s="1"/>
  <c r="Z831" i="1"/>
  <c r="BJ41" i="2"/>
  <c r="R831" i="1"/>
  <c r="BJ105" i="2"/>
  <c r="L196" i="2"/>
  <c r="M197" i="2" s="1"/>
  <c r="AA831" i="1"/>
  <c r="BJ65" i="2"/>
  <c r="Z832" i="1"/>
  <c r="BJ42" i="2"/>
  <c r="R832" i="1"/>
  <c r="BJ106" i="2"/>
  <c r="AA832" i="1"/>
  <c r="BJ66" i="2"/>
  <c r="Z839" i="1"/>
  <c r="BJ47" i="2"/>
  <c r="AA839" i="1"/>
  <c r="BJ71" i="2"/>
  <c r="M853" i="1"/>
  <c r="M844" i="1"/>
  <c r="M849" i="1"/>
  <c r="BI23" i="2"/>
  <c r="Z818" i="1"/>
  <c r="M818" i="1"/>
  <c r="R818" i="1"/>
  <c r="W818" i="1"/>
  <c r="AA818" i="1"/>
  <c r="Z817" i="1"/>
  <c r="M817" i="1"/>
  <c r="R817" i="1"/>
  <c r="W817" i="1"/>
  <c r="AA817" i="1"/>
  <c r="L195" i="2"/>
  <c r="M196" i="2" s="1"/>
  <c r="Z825" i="1"/>
  <c r="W825" i="1"/>
  <c r="AA825" i="1"/>
  <c r="M839" i="1"/>
  <c r="M820" i="1"/>
  <c r="W820" i="1"/>
  <c r="M819" i="1"/>
  <c r="W819" i="1"/>
  <c r="M815" i="1"/>
  <c r="W815" i="1"/>
  <c r="M816" i="1"/>
  <c r="M830" i="1"/>
  <c r="M822" i="1"/>
  <c r="W822" i="1"/>
  <c r="R825" i="1"/>
  <c r="E195" i="2"/>
  <c r="K821" i="1"/>
  <c r="R821" i="1"/>
  <c r="M835" i="1"/>
  <c r="M826" i="1"/>
  <c r="W826" i="1"/>
  <c r="R867" i="1"/>
  <c r="K867" i="1"/>
  <c r="M857" i="1"/>
  <c r="W857" i="1"/>
  <c r="K858" i="1"/>
  <c r="BL4" i="2" s="1"/>
  <c r="R858" i="1"/>
  <c r="W858" i="1"/>
  <c r="M859" i="1"/>
  <c r="W859" i="1"/>
  <c r="M860" i="1"/>
  <c r="W860" i="1"/>
  <c r="M861" i="1"/>
  <c r="W861" i="1"/>
  <c r="M862" i="1"/>
  <c r="W862" i="1"/>
  <c r="K863" i="1"/>
  <c r="W863" i="1"/>
  <c r="M864" i="1"/>
  <c r="W864" i="1"/>
  <c r="W865" i="1"/>
  <c r="M866" i="1"/>
  <c r="W866" i="1"/>
  <c r="W867" i="1"/>
  <c r="M868" i="1"/>
  <c r="W868" i="1"/>
  <c r="R853" i="1"/>
  <c r="K853" i="1"/>
  <c r="M843" i="1"/>
  <c r="W843" i="1"/>
  <c r="K844" i="1"/>
  <c r="BK4" i="2" s="1"/>
  <c r="R844" i="1"/>
  <c r="W844" i="1"/>
  <c r="M845" i="1"/>
  <c r="W845" i="1"/>
  <c r="M846" i="1"/>
  <c r="W846" i="1"/>
  <c r="M847" i="1"/>
  <c r="W847" i="1"/>
  <c r="M848" i="1"/>
  <c r="W848" i="1"/>
  <c r="K849" i="1"/>
  <c r="W849" i="1"/>
  <c r="M850" i="1"/>
  <c r="W850" i="1"/>
  <c r="W851" i="1"/>
  <c r="M852" i="1"/>
  <c r="W852" i="1"/>
  <c r="W853" i="1"/>
  <c r="M854" i="1"/>
  <c r="W854" i="1"/>
  <c r="R839" i="1"/>
  <c r="K839" i="1"/>
  <c r="BJ11" i="2" s="1"/>
  <c r="M829" i="1"/>
  <c r="W829" i="1"/>
  <c r="K830" i="1"/>
  <c r="BJ4" i="2" s="1"/>
  <c r="R830" i="1"/>
  <c r="W830" i="1"/>
  <c r="M831" i="1"/>
  <c r="W831" i="1"/>
  <c r="M832" i="1"/>
  <c r="W832" i="1"/>
  <c r="M833" i="1"/>
  <c r="W833" i="1"/>
  <c r="M834" i="1"/>
  <c r="W834" i="1"/>
  <c r="K835" i="1"/>
  <c r="W835" i="1"/>
  <c r="M836" i="1"/>
  <c r="W836" i="1"/>
  <c r="W837" i="1"/>
  <c r="M838" i="1"/>
  <c r="W838" i="1"/>
  <c r="W839" i="1"/>
  <c r="M840" i="1"/>
  <c r="W840" i="1"/>
  <c r="K825" i="1"/>
  <c r="X815" i="1" s="1"/>
  <c r="BH41" i="2"/>
  <c r="L194" i="2"/>
  <c r="BH17" i="2"/>
  <c r="BH65" i="2"/>
  <c r="BH105" i="2"/>
  <c r="BH42" i="2"/>
  <c r="BH47" i="2"/>
  <c r="F194" i="2"/>
  <c r="BH71" i="2"/>
  <c r="BH18" i="2"/>
  <c r="BH66" i="2"/>
  <c r="BH106" i="2"/>
  <c r="BH44" i="2"/>
  <c r="BH108" i="2"/>
  <c r="R811" i="1"/>
  <c r="K811" i="1"/>
  <c r="BH11" i="2" s="1"/>
  <c r="W801" i="1"/>
  <c r="K802" i="1"/>
  <c r="R802" i="1"/>
  <c r="W802" i="1"/>
  <c r="W803" i="1"/>
  <c r="W804" i="1"/>
  <c r="W805" i="1"/>
  <c r="W806" i="1"/>
  <c r="K807" i="1"/>
  <c r="W807" i="1"/>
  <c r="W808" i="1"/>
  <c r="W809" i="1"/>
  <c r="W810" i="1"/>
  <c r="W811" i="1"/>
  <c r="W812" i="1"/>
  <c r="G793" i="1"/>
  <c r="BG9" i="2" s="1"/>
  <c r="Y798" i="1"/>
  <c r="V798" i="1"/>
  <c r="Q798" i="1"/>
  <c r="BG60" i="2" s="1"/>
  <c r="P798" i="1"/>
  <c r="O798" i="1"/>
  <c r="BG36" i="2" s="1"/>
  <c r="N798" i="1"/>
  <c r="L798" i="1"/>
  <c r="K798" i="1"/>
  <c r="BG12" i="2" s="1"/>
  <c r="H798" i="1"/>
  <c r="R798" i="1" s="1"/>
  <c r="Y797" i="1"/>
  <c r="V797" i="1"/>
  <c r="Q797" i="1"/>
  <c r="BG59" i="2" s="1"/>
  <c r="P797" i="1"/>
  <c r="O797" i="1"/>
  <c r="BG35" i="2" s="1"/>
  <c r="N797" i="1"/>
  <c r="L797" i="1"/>
  <c r="H797" i="1"/>
  <c r="Y796" i="1"/>
  <c r="V796" i="1"/>
  <c r="Q796" i="1"/>
  <c r="BG58" i="2" s="1"/>
  <c r="P796" i="1"/>
  <c r="O796" i="1"/>
  <c r="BG34" i="2" s="1"/>
  <c r="N796" i="1"/>
  <c r="L796" i="1"/>
  <c r="K796" i="1"/>
  <c r="BG10" i="2" s="1"/>
  <c r="H796" i="1"/>
  <c r="Y795" i="1"/>
  <c r="V795" i="1"/>
  <c r="Q795" i="1"/>
  <c r="P795" i="1"/>
  <c r="AA795" i="1" s="1"/>
  <c r="O795" i="1"/>
  <c r="N795" i="1"/>
  <c r="Z795" i="1" s="1"/>
  <c r="L795" i="1"/>
  <c r="K795" i="1"/>
  <c r="H795" i="1"/>
  <c r="Y794" i="1"/>
  <c r="V794" i="1"/>
  <c r="Q794" i="1"/>
  <c r="P794" i="1"/>
  <c r="AA794" i="1" s="1"/>
  <c r="O794" i="1"/>
  <c r="N794" i="1"/>
  <c r="Z794" i="1" s="1"/>
  <c r="L794" i="1"/>
  <c r="K794" i="1"/>
  <c r="H794" i="1"/>
  <c r="Y793" i="1"/>
  <c r="V793" i="1"/>
  <c r="Q793" i="1"/>
  <c r="P793" i="1"/>
  <c r="O793" i="1"/>
  <c r="N793" i="1"/>
  <c r="Z793" i="1" s="1"/>
  <c r="L793" i="1"/>
  <c r="H793" i="1"/>
  <c r="G797" i="1"/>
  <c r="E193" i="2" s="1"/>
  <c r="Y792" i="1"/>
  <c r="V792" i="1"/>
  <c r="Q792" i="1"/>
  <c r="BG56" i="2" s="1"/>
  <c r="P792" i="1"/>
  <c r="O792" i="1"/>
  <c r="BG32" i="2" s="1"/>
  <c r="N792" i="1"/>
  <c r="L792" i="1"/>
  <c r="K792" i="1"/>
  <c r="BG8" i="2" s="1"/>
  <c r="H792" i="1"/>
  <c r="Y791" i="1"/>
  <c r="V791" i="1"/>
  <c r="Q791" i="1"/>
  <c r="BG55" i="2" s="1"/>
  <c r="P791" i="1"/>
  <c r="O791" i="1"/>
  <c r="BG31" i="2" s="1"/>
  <c r="N791" i="1"/>
  <c r="L791" i="1"/>
  <c r="K791" i="1"/>
  <c r="BG7" i="2" s="1"/>
  <c r="H791" i="1"/>
  <c r="Y790" i="1"/>
  <c r="V790" i="1"/>
  <c r="Q790" i="1"/>
  <c r="BG54" i="2" s="1"/>
  <c r="P790" i="1"/>
  <c r="O790" i="1"/>
  <c r="BG30" i="2" s="1"/>
  <c r="N790" i="1"/>
  <c r="L790" i="1"/>
  <c r="K790" i="1"/>
  <c r="BG6" i="2" s="1"/>
  <c r="H790" i="1"/>
  <c r="Y789" i="1"/>
  <c r="V789" i="1"/>
  <c r="Q789" i="1"/>
  <c r="BG53" i="2" s="1"/>
  <c r="P789" i="1"/>
  <c r="O789" i="1"/>
  <c r="BG29" i="2" s="1"/>
  <c r="N789" i="1"/>
  <c r="L789" i="1"/>
  <c r="K789" i="1"/>
  <c r="BG5" i="2" s="1"/>
  <c r="H789" i="1"/>
  <c r="Y788" i="1"/>
  <c r="V788" i="1"/>
  <c r="Q788" i="1"/>
  <c r="BG52" i="2" s="1"/>
  <c r="P788" i="1"/>
  <c r="O788" i="1"/>
  <c r="BG28" i="2" s="1"/>
  <c r="N788" i="1"/>
  <c r="L788" i="1"/>
  <c r="K788" i="1"/>
  <c r="BG4" i="2" s="1"/>
  <c r="H788" i="1"/>
  <c r="Y787" i="1"/>
  <c r="V787" i="1"/>
  <c r="Q787" i="1"/>
  <c r="BG51" i="2" s="1"/>
  <c r="P787" i="1"/>
  <c r="O787" i="1"/>
  <c r="BG27" i="2" s="1"/>
  <c r="N787" i="1"/>
  <c r="L787" i="1"/>
  <c r="K787" i="1"/>
  <c r="BG3" i="2" s="1"/>
  <c r="H787" i="1"/>
  <c r="X843" i="1" l="1"/>
  <c r="BK11" i="2"/>
  <c r="X857" i="1"/>
  <c r="BL11" i="2"/>
  <c r="R787" i="1"/>
  <c r="BG103" i="2"/>
  <c r="BG15" i="2"/>
  <c r="Z787" i="1"/>
  <c r="BG39" i="2"/>
  <c r="AA787" i="1"/>
  <c r="BG63" i="2"/>
  <c r="R788" i="1"/>
  <c r="BG104" i="2"/>
  <c r="BG16" i="2"/>
  <c r="Z788" i="1"/>
  <c r="BG40" i="2"/>
  <c r="AA788" i="1"/>
  <c r="BG64" i="2"/>
  <c r="R789" i="1"/>
  <c r="BG105" i="2"/>
  <c r="BG17" i="2"/>
  <c r="Z789" i="1"/>
  <c r="BG41" i="2"/>
  <c r="AA789" i="1"/>
  <c r="BG65" i="2"/>
  <c r="R790" i="1"/>
  <c r="BG106" i="2"/>
  <c r="BG18" i="2"/>
  <c r="Z790" i="1"/>
  <c r="BG42" i="2"/>
  <c r="AA790" i="1"/>
  <c r="BG66" i="2"/>
  <c r="R791" i="1"/>
  <c r="BG107" i="2"/>
  <c r="BG19" i="2"/>
  <c r="Z791" i="1"/>
  <c r="BG43" i="2"/>
  <c r="AA791" i="1"/>
  <c r="BG67" i="2"/>
  <c r="R792" i="1"/>
  <c r="BG108" i="2"/>
  <c r="BG20" i="2"/>
  <c r="Z792" i="1"/>
  <c r="BG44" i="2"/>
  <c r="AA792" i="1"/>
  <c r="BG68" i="2"/>
  <c r="BG109" i="2"/>
  <c r="BG57" i="2"/>
  <c r="AA793" i="1"/>
  <c r="BG69" i="2"/>
  <c r="R794" i="1"/>
  <c r="BG110" i="2"/>
  <c r="R795" i="1"/>
  <c r="BG111" i="2"/>
  <c r="R796" i="1"/>
  <c r="BG112" i="2"/>
  <c r="BG22" i="2"/>
  <c r="Z796" i="1"/>
  <c r="BG46" i="2"/>
  <c r="AA796" i="1"/>
  <c r="BG70" i="2"/>
  <c r="F193" i="2"/>
  <c r="BG23" i="2"/>
  <c r="Z797" i="1"/>
  <c r="BG47" i="2"/>
  <c r="AA797" i="1"/>
  <c r="BG71" i="2"/>
  <c r="BG24" i="2"/>
  <c r="Z798" i="1"/>
  <c r="BG48" i="2"/>
  <c r="AA798" i="1"/>
  <c r="BG72" i="2"/>
  <c r="M812" i="1"/>
  <c r="M810" i="1"/>
  <c r="M808" i="1"/>
  <c r="M806" i="1"/>
  <c r="M805" i="1"/>
  <c r="M804" i="1"/>
  <c r="M803" i="1"/>
  <c r="M801" i="1"/>
  <c r="X825" i="1"/>
  <c r="X854" i="1"/>
  <c r="X853" i="1"/>
  <c r="X852" i="1"/>
  <c r="X851" i="1"/>
  <c r="X850" i="1"/>
  <c r="X849" i="1"/>
  <c r="X848" i="1"/>
  <c r="X847" i="1"/>
  <c r="X846" i="1"/>
  <c r="X845" i="1"/>
  <c r="X844" i="1"/>
  <c r="X826" i="1"/>
  <c r="X824" i="1"/>
  <c r="X823" i="1"/>
  <c r="X822" i="1"/>
  <c r="X821" i="1"/>
  <c r="X820" i="1"/>
  <c r="X819" i="1"/>
  <c r="X818" i="1"/>
  <c r="X817" i="1"/>
  <c r="X816" i="1"/>
  <c r="X812" i="1"/>
  <c r="X811" i="1"/>
  <c r="M811" i="1"/>
  <c r="X810" i="1"/>
  <c r="X809" i="1"/>
  <c r="X808" i="1"/>
  <c r="X807" i="1"/>
  <c r="M807" i="1"/>
  <c r="X806" i="1"/>
  <c r="X805" i="1"/>
  <c r="X804" i="1"/>
  <c r="X803" i="1"/>
  <c r="X802" i="1"/>
  <c r="M802" i="1"/>
  <c r="X801" i="1"/>
  <c r="X830" i="1"/>
  <c r="X831" i="1"/>
  <c r="X832" i="1"/>
  <c r="X833" i="1"/>
  <c r="X834" i="1"/>
  <c r="X835" i="1"/>
  <c r="X836" i="1"/>
  <c r="X837" i="1"/>
  <c r="X838" i="1"/>
  <c r="X839" i="1"/>
  <c r="X829" i="1"/>
  <c r="X840" i="1"/>
  <c r="X868" i="1"/>
  <c r="X867" i="1"/>
  <c r="X866" i="1"/>
  <c r="X865" i="1"/>
  <c r="X864" i="1"/>
  <c r="X863" i="1"/>
  <c r="X862" i="1"/>
  <c r="X861" i="1"/>
  <c r="X860" i="1"/>
  <c r="X859" i="1"/>
  <c r="X858" i="1"/>
  <c r="BI11" i="2"/>
  <c r="BH4" i="2"/>
  <c r="R797" i="1"/>
  <c r="K797" i="1"/>
  <c r="BG11" i="2" s="1"/>
  <c r="W787" i="1"/>
  <c r="W788" i="1"/>
  <c r="W789" i="1"/>
  <c r="W790" i="1"/>
  <c r="W791" i="1"/>
  <c r="W792" i="1"/>
  <c r="K793" i="1"/>
  <c r="R793" i="1"/>
  <c r="W793" i="1"/>
  <c r="W794" i="1"/>
  <c r="W795" i="1"/>
  <c r="W796" i="1"/>
  <c r="W797" i="1"/>
  <c r="W798" i="1"/>
  <c r="G760" i="1"/>
  <c r="H776" i="1"/>
  <c r="H775" i="1"/>
  <c r="BF116" i="2"/>
  <c r="BF117" i="2"/>
  <c r="BF118" i="2"/>
  <c r="BF119" i="2"/>
  <c r="BF120" i="2"/>
  <c r="BF121" i="2"/>
  <c r="BF122" i="2"/>
  <c r="BF123" i="2"/>
  <c r="BF124" i="2"/>
  <c r="BF115" i="2"/>
  <c r="BF105" i="2"/>
  <c r="BF106" i="2"/>
  <c r="BF90" i="2"/>
  <c r="BF93" i="2"/>
  <c r="BF94" i="2"/>
  <c r="BF95" i="2"/>
  <c r="BF96" i="2"/>
  <c r="BF97" i="2"/>
  <c r="BF98" i="2"/>
  <c r="BF99" i="2"/>
  <c r="BF100" i="2"/>
  <c r="BF89" i="2"/>
  <c r="BF79" i="2"/>
  <c r="BF80" i="2"/>
  <c r="BF81" i="2"/>
  <c r="BF82" i="2"/>
  <c r="BF83" i="2"/>
  <c r="BF84" i="2"/>
  <c r="BF86" i="2"/>
  <c r="BF75" i="2"/>
  <c r="BF45" i="2"/>
  <c r="BF33" i="2"/>
  <c r="BF21" i="2"/>
  <c r="G779" i="1"/>
  <c r="G746" i="1"/>
  <c r="BE116" i="2"/>
  <c r="BE117" i="2"/>
  <c r="BE118" i="2"/>
  <c r="BE119" i="2"/>
  <c r="BE120" i="2"/>
  <c r="BE121" i="2"/>
  <c r="BE122" i="2"/>
  <c r="BE123" i="2"/>
  <c r="BE124" i="2"/>
  <c r="BE115" i="2"/>
  <c r="BE45" i="2"/>
  <c r="BE33" i="2"/>
  <c r="BE21" i="2"/>
  <c r="H784" i="1"/>
  <c r="M798" i="1" s="1"/>
  <c r="H783" i="1"/>
  <c r="M797" i="1" s="1"/>
  <c r="H782" i="1"/>
  <c r="H781" i="1"/>
  <c r="H780" i="1"/>
  <c r="H779" i="1"/>
  <c r="H778" i="1"/>
  <c r="H777" i="1"/>
  <c r="H774" i="1"/>
  <c r="G783" i="1"/>
  <c r="H773" i="1"/>
  <c r="G765" i="1"/>
  <c r="BE9" i="2" s="1"/>
  <c r="H770" i="1"/>
  <c r="H769" i="1"/>
  <c r="H768" i="1"/>
  <c r="BE112" i="2" s="1"/>
  <c r="H767" i="1"/>
  <c r="BE111" i="2" s="1"/>
  <c r="H766" i="1"/>
  <c r="BE110" i="2" s="1"/>
  <c r="H765" i="1"/>
  <c r="BE109" i="2" s="1"/>
  <c r="H764" i="1"/>
  <c r="BE108" i="2" s="1"/>
  <c r="H763" i="1"/>
  <c r="BE107" i="2" s="1"/>
  <c r="H762" i="1"/>
  <c r="BE106" i="2" s="1"/>
  <c r="H761" i="1"/>
  <c r="BE105" i="2" s="1"/>
  <c r="H760" i="1"/>
  <c r="BE104" i="2" s="1"/>
  <c r="G769" i="1"/>
  <c r="H759" i="1"/>
  <c r="BE103" i="2" s="1"/>
  <c r="G732" i="1"/>
  <c r="G718" i="1"/>
  <c r="G704" i="1"/>
  <c r="BD116" i="2"/>
  <c r="BD117" i="2"/>
  <c r="BD118" i="2"/>
  <c r="BD119" i="2"/>
  <c r="BD120" i="2"/>
  <c r="BD121" i="2"/>
  <c r="BD122" i="2"/>
  <c r="BD123" i="2"/>
  <c r="BD124" i="2"/>
  <c r="BD115" i="2"/>
  <c r="BD45" i="2"/>
  <c r="BD33" i="2"/>
  <c r="BD21" i="2"/>
  <c r="G751" i="1"/>
  <c r="BD9" i="2" s="1"/>
  <c r="BF104" i="2" l="1"/>
  <c r="BE57" i="2"/>
  <c r="BF9" i="2"/>
  <c r="BF57" i="2"/>
  <c r="BF103" i="2"/>
  <c r="BF112" i="2"/>
  <c r="BF111" i="2"/>
  <c r="BF110" i="2"/>
  <c r="BF109" i="2"/>
  <c r="BF108" i="2"/>
  <c r="BF107" i="2"/>
  <c r="M796" i="1"/>
  <c r="M794" i="1"/>
  <c r="M792" i="1"/>
  <c r="M791" i="1"/>
  <c r="M790" i="1"/>
  <c r="M789" i="1"/>
  <c r="M788" i="1"/>
  <c r="M787" i="1"/>
  <c r="X798" i="1"/>
  <c r="X797" i="1"/>
  <c r="X796" i="1"/>
  <c r="X795" i="1"/>
  <c r="X794" i="1"/>
  <c r="X793" i="1"/>
  <c r="M793" i="1"/>
  <c r="X792" i="1"/>
  <c r="X791" i="1"/>
  <c r="X790" i="1"/>
  <c r="X789" i="1"/>
  <c r="X788" i="1"/>
  <c r="X787" i="1"/>
  <c r="E191" i="2"/>
  <c r="E192" i="2" s="1"/>
  <c r="I194" i="2"/>
  <c r="J193" i="2"/>
  <c r="K193" i="2"/>
  <c r="L193" i="2"/>
  <c r="I193" i="2"/>
  <c r="J191" i="2"/>
  <c r="J192" i="2" s="1"/>
  <c r="K191" i="2"/>
  <c r="K192" i="2" s="1"/>
  <c r="L191" i="2"/>
  <c r="L192" i="2" s="1"/>
  <c r="I191" i="2"/>
  <c r="I192" i="2" s="1"/>
  <c r="M192" i="2" s="1"/>
  <c r="J189" i="2"/>
  <c r="K189" i="2"/>
  <c r="I189" i="2"/>
  <c r="J190" i="2"/>
  <c r="K190" i="2"/>
  <c r="L190" i="2"/>
  <c r="I190" i="2"/>
  <c r="J188" i="2"/>
  <c r="K188" i="2"/>
  <c r="I188" i="2"/>
  <c r="D191" i="2"/>
  <c r="D192" i="2" s="1"/>
  <c r="F191" i="2"/>
  <c r="F192" i="2" s="1"/>
  <c r="C191" i="2"/>
  <c r="C192" i="2" s="1"/>
  <c r="D190" i="2"/>
  <c r="E190" i="2"/>
  <c r="F190" i="2"/>
  <c r="C190" i="2"/>
  <c r="D189" i="2"/>
  <c r="C189" i="2"/>
  <c r="D188" i="2"/>
  <c r="C188" i="2"/>
  <c r="BC45" i="2"/>
  <c r="BC33" i="2"/>
  <c r="BC21" i="2"/>
  <c r="BC116" i="2"/>
  <c r="BC117" i="2"/>
  <c r="BC118" i="2"/>
  <c r="BC119" i="2"/>
  <c r="BC120" i="2"/>
  <c r="BC121" i="2"/>
  <c r="BC122" i="2"/>
  <c r="BC123" i="2"/>
  <c r="BC124" i="2"/>
  <c r="BC115" i="2"/>
  <c r="G737" i="1"/>
  <c r="BC9" i="2" s="1"/>
  <c r="N146" i="20"/>
  <c r="N147" i="20"/>
  <c r="M146" i="20"/>
  <c r="M148" i="20"/>
  <c r="M147" i="20"/>
  <c r="N148" i="20"/>
  <c r="BB116" i="2"/>
  <c r="BB117" i="2"/>
  <c r="BB118" i="2"/>
  <c r="BB119" i="2"/>
  <c r="BB120" i="2"/>
  <c r="BB121" i="2"/>
  <c r="BB122" i="2"/>
  <c r="BB123" i="2"/>
  <c r="BB124" i="2"/>
  <c r="BB115" i="2"/>
  <c r="BB45" i="2"/>
  <c r="BB33" i="2"/>
  <c r="BB21" i="2"/>
  <c r="BB9" i="2"/>
  <c r="J187" i="2"/>
  <c r="K187" i="2"/>
  <c r="I187" i="2"/>
  <c r="D187" i="2"/>
  <c r="C187" i="2"/>
  <c r="Y784" i="1"/>
  <c r="V784" i="1"/>
  <c r="Q784" i="1"/>
  <c r="P784" i="1"/>
  <c r="O784" i="1"/>
  <c r="N784" i="1"/>
  <c r="L784" i="1"/>
  <c r="K784" i="1"/>
  <c r="R784" i="1"/>
  <c r="Y783" i="1"/>
  <c r="V783" i="1"/>
  <c r="BF85" i="2"/>
  <c r="Q783" i="1"/>
  <c r="P783" i="1"/>
  <c r="O783" i="1"/>
  <c r="N783" i="1"/>
  <c r="L783" i="1"/>
  <c r="M783" i="1"/>
  <c r="Y782" i="1"/>
  <c r="V782" i="1"/>
  <c r="Q782" i="1"/>
  <c r="P782" i="1"/>
  <c r="O782" i="1"/>
  <c r="N782" i="1"/>
  <c r="L782" i="1"/>
  <c r="K782" i="1"/>
  <c r="R782" i="1"/>
  <c r="Y781" i="1"/>
  <c r="V781" i="1"/>
  <c r="Q781" i="1"/>
  <c r="P781" i="1"/>
  <c r="AA781" i="1" s="1"/>
  <c r="O781" i="1"/>
  <c r="N781" i="1"/>
  <c r="Z781" i="1" s="1"/>
  <c r="L781" i="1"/>
  <c r="K781" i="1"/>
  <c r="R781" i="1"/>
  <c r="Y780" i="1"/>
  <c r="V780" i="1"/>
  <c r="Q780" i="1"/>
  <c r="P780" i="1"/>
  <c r="AA780" i="1" s="1"/>
  <c r="O780" i="1"/>
  <c r="N780" i="1"/>
  <c r="Z780" i="1" s="1"/>
  <c r="L780" i="1"/>
  <c r="K780" i="1"/>
  <c r="R780" i="1"/>
  <c r="Y779" i="1"/>
  <c r="V779" i="1"/>
  <c r="Q779" i="1"/>
  <c r="P779" i="1"/>
  <c r="O779" i="1"/>
  <c r="N779" i="1"/>
  <c r="Z779" i="1" s="1"/>
  <c r="L779" i="1"/>
  <c r="M779" i="1"/>
  <c r="Y778" i="1"/>
  <c r="V778" i="1"/>
  <c r="Q778" i="1"/>
  <c r="P778" i="1"/>
  <c r="O778" i="1"/>
  <c r="N778" i="1"/>
  <c r="L778" i="1"/>
  <c r="K778" i="1"/>
  <c r="R778" i="1"/>
  <c r="Y777" i="1"/>
  <c r="V777" i="1"/>
  <c r="Q777" i="1"/>
  <c r="P777" i="1"/>
  <c r="O777" i="1"/>
  <c r="N777" i="1"/>
  <c r="L777" i="1"/>
  <c r="K777" i="1"/>
  <c r="R777" i="1"/>
  <c r="Y776" i="1"/>
  <c r="V776" i="1"/>
  <c r="BF92" i="2"/>
  <c r="BF78" i="2"/>
  <c r="Q776" i="1"/>
  <c r="P776" i="1"/>
  <c r="O776" i="1"/>
  <c r="N776" i="1"/>
  <c r="L776" i="1"/>
  <c r="K776" i="1"/>
  <c r="R776" i="1"/>
  <c r="Y775" i="1"/>
  <c r="V775" i="1"/>
  <c r="BF91" i="2"/>
  <c r="BF77" i="2"/>
  <c r="Q775" i="1"/>
  <c r="P775" i="1"/>
  <c r="O775" i="1"/>
  <c r="N775" i="1"/>
  <c r="L775" i="1"/>
  <c r="K775" i="1"/>
  <c r="R775" i="1"/>
  <c r="Y774" i="1"/>
  <c r="V774" i="1"/>
  <c r="BF76" i="2"/>
  <c r="Q774" i="1"/>
  <c r="P774" i="1"/>
  <c r="O774" i="1"/>
  <c r="N774" i="1"/>
  <c r="L774" i="1"/>
  <c r="K774" i="1"/>
  <c r="R774" i="1"/>
  <c r="Y773" i="1"/>
  <c r="V773" i="1"/>
  <c r="Q773" i="1"/>
  <c r="P773" i="1"/>
  <c r="O773" i="1"/>
  <c r="N773" i="1"/>
  <c r="L773" i="1"/>
  <c r="K773" i="1"/>
  <c r="R773" i="1"/>
  <c r="Y770" i="1"/>
  <c r="V770" i="1"/>
  <c r="T770" i="1"/>
  <c r="BE100" i="2" s="1"/>
  <c r="S770" i="1"/>
  <c r="BE86" i="2" s="1"/>
  <c r="Q770" i="1"/>
  <c r="BE60" i="2" s="1"/>
  <c r="P770" i="1"/>
  <c r="O770" i="1"/>
  <c r="BE36" i="2" s="1"/>
  <c r="N770" i="1"/>
  <c r="L770" i="1"/>
  <c r="BE24" i="2" s="1"/>
  <c r="K770" i="1"/>
  <c r="BE12" i="2" s="1"/>
  <c r="R770" i="1"/>
  <c r="Y769" i="1"/>
  <c r="V769" i="1"/>
  <c r="T769" i="1"/>
  <c r="BE99" i="2" s="1"/>
  <c r="S769" i="1"/>
  <c r="BE85" i="2" s="1"/>
  <c r="Q769" i="1"/>
  <c r="BE59" i="2" s="1"/>
  <c r="P769" i="1"/>
  <c r="O769" i="1"/>
  <c r="BE35" i="2" s="1"/>
  <c r="N769" i="1"/>
  <c r="L769" i="1"/>
  <c r="BE23" i="2" s="1"/>
  <c r="Y768" i="1"/>
  <c r="V768" i="1"/>
  <c r="T768" i="1"/>
  <c r="BE98" i="2" s="1"/>
  <c r="S768" i="1"/>
  <c r="BE84" i="2" s="1"/>
  <c r="Q768" i="1"/>
  <c r="BE58" i="2" s="1"/>
  <c r="P768" i="1"/>
  <c r="O768" i="1"/>
  <c r="BE34" i="2" s="1"/>
  <c r="N768" i="1"/>
  <c r="L768" i="1"/>
  <c r="BE22" i="2" s="1"/>
  <c r="K768" i="1"/>
  <c r="BE10" i="2" s="1"/>
  <c r="R768" i="1"/>
  <c r="Y767" i="1"/>
  <c r="V767" i="1"/>
  <c r="T767" i="1"/>
  <c r="BE97" i="2" s="1"/>
  <c r="S767" i="1"/>
  <c r="BE83" i="2" s="1"/>
  <c r="Q767" i="1"/>
  <c r="P767" i="1"/>
  <c r="AA767" i="1" s="1"/>
  <c r="O767" i="1"/>
  <c r="N767" i="1"/>
  <c r="Z767" i="1" s="1"/>
  <c r="L767" i="1"/>
  <c r="K767" i="1"/>
  <c r="R767" i="1"/>
  <c r="Y766" i="1"/>
  <c r="V766" i="1"/>
  <c r="T766" i="1"/>
  <c r="BE96" i="2" s="1"/>
  <c r="S766" i="1"/>
  <c r="BE82" i="2" s="1"/>
  <c r="Q766" i="1"/>
  <c r="P766" i="1"/>
  <c r="AA766" i="1" s="1"/>
  <c r="O766" i="1"/>
  <c r="N766" i="1"/>
  <c r="Z766" i="1" s="1"/>
  <c r="L766" i="1"/>
  <c r="K766" i="1"/>
  <c r="R766" i="1"/>
  <c r="Y765" i="1"/>
  <c r="V765" i="1"/>
  <c r="T765" i="1"/>
  <c r="BE95" i="2" s="1"/>
  <c r="S765" i="1"/>
  <c r="BE81" i="2" s="1"/>
  <c r="Q765" i="1"/>
  <c r="P765" i="1"/>
  <c r="O765" i="1"/>
  <c r="N765" i="1"/>
  <c r="Z765" i="1" s="1"/>
  <c r="L765" i="1"/>
  <c r="Y764" i="1"/>
  <c r="V764" i="1"/>
  <c r="T764" i="1"/>
  <c r="BE94" i="2" s="1"/>
  <c r="S764" i="1"/>
  <c r="BE80" i="2" s="1"/>
  <c r="Q764" i="1"/>
  <c r="BE56" i="2" s="1"/>
  <c r="P764" i="1"/>
  <c r="O764" i="1"/>
  <c r="BE32" i="2" s="1"/>
  <c r="N764" i="1"/>
  <c r="L764" i="1"/>
  <c r="BE20" i="2" s="1"/>
  <c r="K764" i="1"/>
  <c r="BE8" i="2" s="1"/>
  <c r="R764" i="1"/>
  <c r="Y763" i="1"/>
  <c r="V763" i="1"/>
  <c r="T763" i="1"/>
  <c r="BE93" i="2" s="1"/>
  <c r="S763" i="1"/>
  <c r="BE79" i="2" s="1"/>
  <c r="Q763" i="1"/>
  <c r="BE55" i="2" s="1"/>
  <c r="P763" i="1"/>
  <c r="O763" i="1"/>
  <c r="BE31" i="2" s="1"/>
  <c r="N763" i="1"/>
  <c r="L763" i="1"/>
  <c r="BE19" i="2" s="1"/>
  <c r="K763" i="1"/>
  <c r="BE7" i="2" s="1"/>
  <c r="R763" i="1"/>
  <c r="Y762" i="1"/>
  <c r="V762" i="1"/>
  <c r="T762" i="1"/>
  <c r="BE92" i="2" s="1"/>
  <c r="S762" i="1"/>
  <c r="BE78" i="2" s="1"/>
  <c r="Q762" i="1"/>
  <c r="BE54" i="2" s="1"/>
  <c r="P762" i="1"/>
  <c r="O762" i="1"/>
  <c r="BE30" i="2" s="1"/>
  <c r="N762" i="1"/>
  <c r="L762" i="1"/>
  <c r="BE18" i="2" s="1"/>
  <c r="K762" i="1"/>
  <c r="BE6" i="2" s="1"/>
  <c r="R762" i="1"/>
  <c r="Y761" i="1"/>
  <c r="V761" i="1"/>
  <c r="T761" i="1"/>
  <c r="BE91" i="2" s="1"/>
  <c r="S761" i="1"/>
  <c r="BE77" i="2" s="1"/>
  <c r="Q761" i="1"/>
  <c r="BE53" i="2" s="1"/>
  <c r="P761" i="1"/>
  <c r="O761" i="1"/>
  <c r="BE29" i="2" s="1"/>
  <c r="N761" i="1"/>
  <c r="L761" i="1"/>
  <c r="BE17" i="2" s="1"/>
  <c r="K761" i="1"/>
  <c r="BE5" i="2" s="1"/>
  <c r="R761" i="1"/>
  <c r="Y760" i="1"/>
  <c r="V760" i="1"/>
  <c r="T760" i="1"/>
  <c r="BE90" i="2" s="1"/>
  <c r="S760" i="1"/>
  <c r="BE76" i="2" s="1"/>
  <c r="Q760" i="1"/>
  <c r="BE52" i="2" s="1"/>
  <c r="P760" i="1"/>
  <c r="O760" i="1"/>
  <c r="BE28" i="2" s="1"/>
  <c r="N760" i="1"/>
  <c r="L760" i="1"/>
  <c r="BE16" i="2" s="1"/>
  <c r="K760" i="1"/>
  <c r="BE4" i="2" s="1"/>
  <c r="R760" i="1"/>
  <c r="Y759" i="1"/>
  <c r="V759" i="1"/>
  <c r="T759" i="1"/>
  <c r="BE89" i="2" s="1"/>
  <c r="S759" i="1"/>
  <c r="BE75" i="2" s="1"/>
  <c r="Q759" i="1"/>
  <c r="BE51" i="2" s="1"/>
  <c r="P759" i="1"/>
  <c r="O759" i="1"/>
  <c r="BE27" i="2" s="1"/>
  <c r="N759" i="1"/>
  <c r="L759" i="1"/>
  <c r="BE15" i="2" s="1"/>
  <c r="K759" i="1"/>
  <c r="BE3" i="2" s="1"/>
  <c r="R759" i="1"/>
  <c r="Y756" i="1"/>
  <c r="V756" i="1"/>
  <c r="T756" i="1"/>
  <c r="BD100" i="2" s="1"/>
  <c r="S756" i="1"/>
  <c r="BD86" i="2" s="1"/>
  <c r="Q756" i="1"/>
  <c r="BD60" i="2" s="1"/>
  <c r="P756" i="1"/>
  <c r="O756" i="1"/>
  <c r="BD36" i="2" s="1"/>
  <c r="N756" i="1"/>
  <c r="L756" i="1"/>
  <c r="BD24" i="2" s="1"/>
  <c r="K756" i="1"/>
  <c r="BD12" i="2" s="1"/>
  <c r="H756" i="1"/>
  <c r="R756" i="1" s="1"/>
  <c r="Y755" i="1"/>
  <c r="V755" i="1"/>
  <c r="T755" i="1"/>
  <c r="BD99" i="2" s="1"/>
  <c r="S755" i="1"/>
  <c r="BD85" i="2" s="1"/>
  <c r="Q755" i="1"/>
  <c r="BD59" i="2" s="1"/>
  <c r="P755" i="1"/>
  <c r="O755" i="1"/>
  <c r="BD35" i="2" s="1"/>
  <c r="N755" i="1"/>
  <c r="L755" i="1"/>
  <c r="BD23" i="2" s="1"/>
  <c r="H755" i="1"/>
  <c r="F189" i="2" s="1"/>
  <c r="Y754" i="1"/>
  <c r="V754" i="1"/>
  <c r="T754" i="1"/>
  <c r="BD98" i="2" s="1"/>
  <c r="S754" i="1"/>
  <c r="BD84" i="2" s="1"/>
  <c r="Q754" i="1"/>
  <c r="BD58" i="2" s="1"/>
  <c r="P754" i="1"/>
  <c r="O754" i="1"/>
  <c r="BD34" i="2" s="1"/>
  <c r="N754" i="1"/>
  <c r="L754" i="1"/>
  <c r="BD22" i="2" s="1"/>
  <c r="K754" i="1"/>
  <c r="BD10" i="2" s="1"/>
  <c r="H754" i="1"/>
  <c r="Y753" i="1"/>
  <c r="V753" i="1"/>
  <c r="T753" i="1"/>
  <c r="BD97" i="2" s="1"/>
  <c r="S753" i="1"/>
  <c r="BD83" i="2" s="1"/>
  <c r="Q753" i="1"/>
  <c r="P753" i="1"/>
  <c r="AA753" i="1" s="1"/>
  <c r="O753" i="1"/>
  <c r="N753" i="1"/>
  <c r="Z753" i="1" s="1"/>
  <c r="L753" i="1"/>
  <c r="K753" i="1"/>
  <c r="H753" i="1"/>
  <c r="Y752" i="1"/>
  <c r="V752" i="1"/>
  <c r="T752" i="1"/>
  <c r="BD96" i="2" s="1"/>
  <c r="S752" i="1"/>
  <c r="BD82" i="2" s="1"/>
  <c r="Q752" i="1"/>
  <c r="P752" i="1"/>
  <c r="AA752" i="1" s="1"/>
  <c r="O752" i="1"/>
  <c r="N752" i="1"/>
  <c r="Z752" i="1" s="1"/>
  <c r="L752" i="1"/>
  <c r="K752" i="1"/>
  <c r="H752" i="1"/>
  <c r="Y751" i="1"/>
  <c r="V751" i="1"/>
  <c r="T751" i="1"/>
  <c r="BD95" i="2" s="1"/>
  <c r="S751" i="1"/>
  <c r="BD81" i="2" s="1"/>
  <c r="Q751" i="1"/>
  <c r="P751" i="1"/>
  <c r="O751" i="1"/>
  <c r="N751" i="1"/>
  <c r="Z751" i="1" s="1"/>
  <c r="L751" i="1"/>
  <c r="H751" i="1"/>
  <c r="G755" i="1"/>
  <c r="E189" i="2" s="1"/>
  <c r="Y750" i="1"/>
  <c r="V750" i="1"/>
  <c r="T750" i="1"/>
  <c r="BD94" i="2" s="1"/>
  <c r="S750" i="1"/>
  <c r="BD80" i="2" s="1"/>
  <c r="Q750" i="1"/>
  <c r="BD56" i="2" s="1"/>
  <c r="P750" i="1"/>
  <c r="O750" i="1"/>
  <c r="BD32" i="2" s="1"/>
  <c r="N750" i="1"/>
  <c r="L750" i="1"/>
  <c r="BD20" i="2" s="1"/>
  <c r="K750" i="1"/>
  <c r="BD8" i="2" s="1"/>
  <c r="H750" i="1"/>
  <c r="Y749" i="1"/>
  <c r="V749" i="1"/>
  <c r="T749" i="1"/>
  <c r="BD93" i="2" s="1"/>
  <c r="S749" i="1"/>
  <c r="BD79" i="2" s="1"/>
  <c r="Q749" i="1"/>
  <c r="BD55" i="2" s="1"/>
  <c r="P749" i="1"/>
  <c r="O749" i="1"/>
  <c r="BD31" i="2" s="1"/>
  <c r="N749" i="1"/>
  <c r="L749" i="1"/>
  <c r="BD19" i="2" s="1"/>
  <c r="K749" i="1"/>
  <c r="BD7" i="2" s="1"/>
  <c r="H749" i="1"/>
  <c r="Y748" i="1"/>
  <c r="V748" i="1"/>
  <c r="T748" i="1"/>
  <c r="BD92" i="2" s="1"/>
  <c r="S748" i="1"/>
  <c r="BD78" i="2" s="1"/>
  <c r="Q748" i="1"/>
  <c r="BD54" i="2" s="1"/>
  <c r="P748" i="1"/>
  <c r="O748" i="1"/>
  <c r="BD30" i="2" s="1"/>
  <c r="N748" i="1"/>
  <c r="L748" i="1"/>
  <c r="BD18" i="2" s="1"/>
  <c r="K748" i="1"/>
  <c r="BD6" i="2" s="1"/>
  <c r="H748" i="1"/>
  <c r="Y747" i="1"/>
  <c r="V747" i="1"/>
  <c r="T747" i="1"/>
  <c r="BD91" i="2" s="1"/>
  <c r="S747" i="1"/>
  <c r="BD77" i="2" s="1"/>
  <c r="Q747" i="1"/>
  <c r="BD53" i="2" s="1"/>
  <c r="P747" i="1"/>
  <c r="O747" i="1"/>
  <c r="BD29" i="2" s="1"/>
  <c r="N747" i="1"/>
  <c r="L747" i="1"/>
  <c r="BD17" i="2" s="1"/>
  <c r="K747" i="1"/>
  <c r="BD5" i="2" s="1"/>
  <c r="H747" i="1"/>
  <c r="Y746" i="1"/>
  <c r="V746" i="1"/>
  <c r="T746" i="1"/>
  <c r="BD90" i="2" s="1"/>
  <c r="S746" i="1"/>
  <c r="BD76" i="2" s="1"/>
  <c r="Q746" i="1"/>
  <c r="BD52" i="2" s="1"/>
  <c r="P746" i="1"/>
  <c r="O746" i="1"/>
  <c r="BD28" i="2" s="1"/>
  <c r="N746" i="1"/>
  <c r="L746" i="1"/>
  <c r="BD16" i="2" s="1"/>
  <c r="K746" i="1"/>
  <c r="BD4" i="2" s="1"/>
  <c r="H746" i="1"/>
  <c r="Y745" i="1"/>
  <c r="V745" i="1"/>
  <c r="T745" i="1"/>
  <c r="BD89" i="2" s="1"/>
  <c r="S745" i="1"/>
  <c r="BD75" i="2" s="1"/>
  <c r="Q745" i="1"/>
  <c r="BD51" i="2" s="1"/>
  <c r="P745" i="1"/>
  <c r="O745" i="1"/>
  <c r="BD27" i="2" s="1"/>
  <c r="N745" i="1"/>
  <c r="L745" i="1"/>
  <c r="BD15" i="2" s="1"/>
  <c r="K745" i="1"/>
  <c r="BD3" i="2" s="1"/>
  <c r="H745" i="1"/>
  <c r="AB742" i="1"/>
  <c r="Y742" i="1"/>
  <c r="V742" i="1"/>
  <c r="T742" i="1"/>
  <c r="BC100" i="2" s="1"/>
  <c r="S742" i="1"/>
  <c r="BC86" i="2" s="1"/>
  <c r="Q742" i="1"/>
  <c r="BC60" i="2" s="1"/>
  <c r="P742" i="1"/>
  <c r="O742" i="1"/>
  <c r="BC36" i="2" s="1"/>
  <c r="N742" i="1"/>
  <c r="L742" i="1"/>
  <c r="BC24" i="2" s="1"/>
  <c r="K742" i="1"/>
  <c r="BC12" i="2" s="1"/>
  <c r="H742" i="1"/>
  <c r="R742" i="1" s="1"/>
  <c r="AB741" i="1"/>
  <c r="Y741" i="1"/>
  <c r="V741" i="1"/>
  <c r="T741" i="1"/>
  <c r="BC99" i="2" s="1"/>
  <c r="S741" i="1"/>
  <c r="BC85" i="2" s="1"/>
  <c r="Q741" i="1"/>
  <c r="BC59" i="2" s="1"/>
  <c r="P741" i="1"/>
  <c r="AA741" i="1" s="1"/>
  <c r="O741" i="1"/>
  <c r="BC35" i="2" s="1"/>
  <c r="N741" i="1"/>
  <c r="Z741" i="1" s="1"/>
  <c r="L741" i="1"/>
  <c r="W741" i="1" s="1"/>
  <c r="H741" i="1"/>
  <c r="F188" i="2" s="1"/>
  <c r="AB740" i="1"/>
  <c r="Y740" i="1"/>
  <c r="V740" i="1"/>
  <c r="T740" i="1"/>
  <c r="BC98" i="2" s="1"/>
  <c r="S740" i="1"/>
  <c r="BC84" i="2" s="1"/>
  <c r="Q740" i="1"/>
  <c r="BC58" i="2" s="1"/>
  <c r="P740" i="1"/>
  <c r="BC70" i="2" s="1"/>
  <c r="O740" i="1"/>
  <c r="BC34" i="2" s="1"/>
  <c r="N740" i="1"/>
  <c r="L740" i="1"/>
  <c r="BC22" i="2" s="1"/>
  <c r="K740" i="1"/>
  <c r="BC10" i="2" s="1"/>
  <c r="H740" i="1"/>
  <c r="AB739" i="1"/>
  <c r="Y739" i="1"/>
  <c r="V739" i="1"/>
  <c r="T739" i="1"/>
  <c r="BC97" i="2" s="1"/>
  <c r="S739" i="1"/>
  <c r="BC83" i="2" s="1"/>
  <c r="Q739" i="1"/>
  <c r="P739" i="1"/>
  <c r="AA739" i="1" s="1"/>
  <c r="O739" i="1"/>
  <c r="N739" i="1"/>
  <c r="Z739" i="1" s="1"/>
  <c r="L739" i="1"/>
  <c r="W739" i="1" s="1"/>
  <c r="K739" i="1"/>
  <c r="H739" i="1"/>
  <c r="BC111" i="2" s="1"/>
  <c r="AB738" i="1"/>
  <c r="Y738" i="1"/>
  <c r="V738" i="1"/>
  <c r="T738" i="1"/>
  <c r="BC96" i="2" s="1"/>
  <c r="S738" i="1"/>
  <c r="BC82" i="2" s="1"/>
  <c r="Q738" i="1"/>
  <c r="P738" i="1"/>
  <c r="AA738" i="1" s="1"/>
  <c r="O738" i="1"/>
  <c r="N738" i="1"/>
  <c r="Z738" i="1" s="1"/>
  <c r="L738" i="1"/>
  <c r="K738" i="1"/>
  <c r="H738" i="1"/>
  <c r="AB737" i="1"/>
  <c r="Y737" i="1"/>
  <c r="V737" i="1"/>
  <c r="T737" i="1"/>
  <c r="BC95" i="2" s="1"/>
  <c r="S737" i="1"/>
  <c r="BC81" i="2" s="1"/>
  <c r="Q737" i="1"/>
  <c r="P737" i="1"/>
  <c r="O737" i="1"/>
  <c r="N737" i="1"/>
  <c r="Z737" i="1" s="1"/>
  <c r="L737" i="1"/>
  <c r="W737" i="1" s="1"/>
  <c r="H737" i="1"/>
  <c r="G741" i="1"/>
  <c r="R741" i="1" s="1"/>
  <c r="AB736" i="1"/>
  <c r="Y736" i="1"/>
  <c r="V736" i="1"/>
  <c r="T736" i="1"/>
  <c r="BC94" i="2" s="1"/>
  <c r="S736" i="1"/>
  <c r="BC80" i="2" s="1"/>
  <c r="Q736" i="1"/>
  <c r="BC56" i="2" s="1"/>
  <c r="P736" i="1"/>
  <c r="AA736" i="1" s="1"/>
  <c r="O736" i="1"/>
  <c r="BC32" i="2" s="1"/>
  <c r="N736" i="1"/>
  <c r="Z736" i="1" s="1"/>
  <c r="L736" i="1"/>
  <c r="BC20" i="2" s="1"/>
  <c r="K736" i="1"/>
  <c r="BC8" i="2" s="1"/>
  <c r="H736" i="1"/>
  <c r="R736" i="1" s="1"/>
  <c r="AB735" i="1"/>
  <c r="Y735" i="1"/>
  <c r="V735" i="1"/>
  <c r="T735" i="1"/>
  <c r="BC93" i="2" s="1"/>
  <c r="S735" i="1"/>
  <c r="BC79" i="2" s="1"/>
  <c r="Q735" i="1"/>
  <c r="BC55" i="2" s="1"/>
  <c r="P735" i="1"/>
  <c r="BC67" i="2" s="1"/>
  <c r="O735" i="1"/>
  <c r="BC31" i="2" s="1"/>
  <c r="N735" i="1"/>
  <c r="L735" i="1"/>
  <c r="BC19" i="2" s="1"/>
  <c r="K735" i="1"/>
  <c r="BC7" i="2" s="1"/>
  <c r="H735" i="1"/>
  <c r="AB734" i="1"/>
  <c r="Y734" i="1"/>
  <c r="V734" i="1"/>
  <c r="T734" i="1"/>
  <c r="BC92" i="2" s="1"/>
  <c r="S734" i="1"/>
  <c r="BC78" i="2" s="1"/>
  <c r="Q734" i="1"/>
  <c r="BC54" i="2" s="1"/>
  <c r="P734" i="1"/>
  <c r="BC66" i="2" s="1"/>
  <c r="O734" i="1"/>
  <c r="BC30" i="2" s="1"/>
  <c r="N734" i="1"/>
  <c r="BC42" i="2" s="1"/>
  <c r="L734" i="1"/>
  <c r="BC18" i="2" s="1"/>
  <c r="K734" i="1"/>
  <c r="BC6" i="2" s="1"/>
  <c r="H734" i="1"/>
  <c r="BC106" i="2" s="1"/>
  <c r="AB733" i="1"/>
  <c r="Y733" i="1"/>
  <c r="V733" i="1"/>
  <c r="T733" i="1"/>
  <c r="BC91" i="2" s="1"/>
  <c r="S733" i="1"/>
  <c r="BC77" i="2" s="1"/>
  <c r="Q733" i="1"/>
  <c r="BC53" i="2" s="1"/>
  <c r="P733" i="1"/>
  <c r="BC65" i="2" s="1"/>
  <c r="O733" i="1"/>
  <c r="BC29" i="2" s="1"/>
  <c r="N733" i="1"/>
  <c r="BC41" i="2" s="1"/>
  <c r="L733" i="1"/>
  <c r="BC17" i="2" s="1"/>
  <c r="K733" i="1"/>
  <c r="BC5" i="2" s="1"/>
  <c r="H733" i="1"/>
  <c r="L188" i="2" s="1"/>
  <c r="AB732" i="1"/>
  <c r="Y732" i="1"/>
  <c r="V732" i="1"/>
  <c r="T732" i="1"/>
  <c r="BC90" i="2" s="1"/>
  <c r="S732" i="1"/>
  <c r="BC76" i="2" s="1"/>
  <c r="Q732" i="1"/>
  <c r="BC52" i="2" s="1"/>
  <c r="P732" i="1"/>
  <c r="O732" i="1"/>
  <c r="BC28" i="2" s="1"/>
  <c r="N732" i="1"/>
  <c r="L732" i="1"/>
  <c r="BC16" i="2" s="1"/>
  <c r="K732" i="1"/>
  <c r="BC4" i="2" s="1"/>
  <c r="H732" i="1"/>
  <c r="AB731" i="1"/>
  <c r="Y731" i="1"/>
  <c r="V731" i="1"/>
  <c r="T731" i="1"/>
  <c r="BC89" i="2" s="1"/>
  <c r="S731" i="1"/>
  <c r="BC75" i="2" s="1"/>
  <c r="Q731" i="1"/>
  <c r="BC51" i="2" s="1"/>
  <c r="P731" i="1"/>
  <c r="O731" i="1"/>
  <c r="BC27" i="2" s="1"/>
  <c r="N731" i="1"/>
  <c r="L731" i="1"/>
  <c r="BC15" i="2" s="1"/>
  <c r="K731" i="1"/>
  <c r="BC3" i="2" s="1"/>
  <c r="H731" i="1"/>
  <c r="BA116" i="2"/>
  <c r="BA117" i="2"/>
  <c r="BA118" i="2"/>
  <c r="BA119" i="2"/>
  <c r="BA120" i="2"/>
  <c r="BA121" i="2"/>
  <c r="BA122" i="2"/>
  <c r="BA123" i="2"/>
  <c r="BA124" i="2"/>
  <c r="BA115" i="2"/>
  <c r="BA45" i="2"/>
  <c r="BA33" i="2"/>
  <c r="BA21" i="2"/>
  <c r="J186" i="2"/>
  <c r="K186" i="2"/>
  <c r="I186" i="2"/>
  <c r="D186" i="2"/>
  <c r="C186" i="2"/>
  <c r="M191" i="2"/>
  <c r="G709" i="1"/>
  <c r="BA9" i="2" s="1"/>
  <c r="T704" i="1"/>
  <c r="BA90" i="2" s="1"/>
  <c r="T705" i="1"/>
  <c r="BA91" i="2" s="1"/>
  <c r="T706" i="1"/>
  <c r="BA92" i="2" s="1"/>
  <c r="T707" i="1"/>
  <c r="BA93" i="2" s="1"/>
  <c r="T708" i="1"/>
  <c r="BA94" i="2" s="1"/>
  <c r="T709" i="1"/>
  <c r="BA95" i="2" s="1"/>
  <c r="T710" i="1"/>
  <c r="BA96" i="2" s="1"/>
  <c r="T711" i="1"/>
  <c r="BA97" i="2" s="1"/>
  <c r="T712" i="1"/>
  <c r="BA98" i="2" s="1"/>
  <c r="T713" i="1"/>
  <c r="BA99" i="2" s="1"/>
  <c r="T714" i="1"/>
  <c r="BA100" i="2" s="1"/>
  <c r="T703" i="1"/>
  <c r="BA89" i="2" s="1"/>
  <c r="S704" i="1"/>
  <c r="BA76" i="2" s="1"/>
  <c r="S705" i="1"/>
  <c r="BA77" i="2" s="1"/>
  <c r="S706" i="1"/>
  <c r="BA78" i="2" s="1"/>
  <c r="S707" i="1"/>
  <c r="BA79" i="2" s="1"/>
  <c r="S708" i="1"/>
  <c r="BA80" i="2" s="1"/>
  <c r="S709" i="1"/>
  <c r="BA81" i="2" s="1"/>
  <c r="S710" i="1"/>
  <c r="BA82" i="2" s="1"/>
  <c r="S711" i="1"/>
  <c r="BA83" i="2" s="1"/>
  <c r="S712" i="1"/>
  <c r="BA84" i="2" s="1"/>
  <c r="S713" i="1"/>
  <c r="BA85" i="2" s="1"/>
  <c r="S714" i="1"/>
  <c r="BA86" i="2" s="1"/>
  <c r="S703" i="1"/>
  <c r="BA75" i="2" s="1"/>
  <c r="Y728" i="1"/>
  <c r="V728" i="1"/>
  <c r="T728" i="1"/>
  <c r="BB100" i="2" s="1"/>
  <c r="S728" i="1"/>
  <c r="BB86" i="2" s="1"/>
  <c r="Q728" i="1"/>
  <c r="BB60" i="2" s="1"/>
  <c r="P728" i="1"/>
  <c r="O728" i="1"/>
  <c r="BB36" i="2" s="1"/>
  <c r="N728" i="1"/>
  <c r="L728" i="1"/>
  <c r="BB24" i="2" s="1"/>
  <c r="K728" i="1"/>
  <c r="BB12" i="2" s="1"/>
  <c r="H728" i="1"/>
  <c r="R728" i="1" s="1"/>
  <c r="Y727" i="1"/>
  <c r="V727" i="1"/>
  <c r="T727" i="1"/>
  <c r="BB99" i="2" s="1"/>
  <c r="S727" i="1"/>
  <c r="BB85" i="2" s="1"/>
  <c r="Q727" i="1"/>
  <c r="BB59" i="2" s="1"/>
  <c r="P727" i="1"/>
  <c r="AA727" i="1" s="1"/>
  <c r="O727" i="1"/>
  <c r="BB35" i="2" s="1"/>
  <c r="N727" i="1"/>
  <c r="Z727" i="1" s="1"/>
  <c r="L727" i="1"/>
  <c r="BB23" i="2" s="1"/>
  <c r="H727" i="1"/>
  <c r="F187" i="2" s="1"/>
  <c r="Y726" i="1"/>
  <c r="V726" i="1"/>
  <c r="T726" i="1"/>
  <c r="BB98" i="2" s="1"/>
  <c r="S726" i="1"/>
  <c r="BB84" i="2" s="1"/>
  <c r="Q726" i="1"/>
  <c r="BB58" i="2" s="1"/>
  <c r="P726" i="1"/>
  <c r="O726" i="1"/>
  <c r="BB34" i="2" s="1"/>
  <c r="N726" i="1"/>
  <c r="L726" i="1"/>
  <c r="BB22" i="2" s="1"/>
  <c r="K726" i="1"/>
  <c r="BB10" i="2" s="1"/>
  <c r="H726" i="1"/>
  <c r="Y725" i="1"/>
  <c r="V725" i="1"/>
  <c r="T725" i="1"/>
  <c r="BB97" i="2" s="1"/>
  <c r="S725" i="1"/>
  <c r="BB83" i="2" s="1"/>
  <c r="Q725" i="1"/>
  <c r="P725" i="1"/>
  <c r="AA725" i="1" s="1"/>
  <c r="O725" i="1"/>
  <c r="N725" i="1"/>
  <c r="Z725" i="1" s="1"/>
  <c r="L725" i="1"/>
  <c r="K725" i="1"/>
  <c r="H725" i="1"/>
  <c r="Y724" i="1"/>
  <c r="V724" i="1"/>
  <c r="T724" i="1"/>
  <c r="BB96" i="2" s="1"/>
  <c r="S724" i="1"/>
  <c r="BB82" i="2" s="1"/>
  <c r="Q724" i="1"/>
  <c r="P724" i="1"/>
  <c r="AA724" i="1" s="1"/>
  <c r="O724" i="1"/>
  <c r="N724" i="1"/>
  <c r="Z724" i="1" s="1"/>
  <c r="L724" i="1"/>
  <c r="K724" i="1"/>
  <c r="H724" i="1"/>
  <c r="Y723" i="1"/>
  <c r="V723" i="1"/>
  <c r="T723" i="1"/>
  <c r="BB95" i="2" s="1"/>
  <c r="S723" i="1"/>
  <c r="BB81" i="2" s="1"/>
  <c r="Q723" i="1"/>
  <c r="P723" i="1"/>
  <c r="O723" i="1"/>
  <c r="N723" i="1"/>
  <c r="Z723" i="1" s="1"/>
  <c r="L723" i="1"/>
  <c r="H723" i="1"/>
  <c r="G727" i="1"/>
  <c r="E187" i="2" s="1"/>
  <c r="Y722" i="1"/>
  <c r="V722" i="1"/>
  <c r="T722" i="1"/>
  <c r="BB94" i="2" s="1"/>
  <c r="S722" i="1"/>
  <c r="BB80" i="2" s="1"/>
  <c r="Q722" i="1"/>
  <c r="BB56" i="2" s="1"/>
  <c r="P722" i="1"/>
  <c r="O722" i="1"/>
  <c r="BB32" i="2" s="1"/>
  <c r="N722" i="1"/>
  <c r="L722" i="1"/>
  <c r="BB20" i="2" s="1"/>
  <c r="K722" i="1"/>
  <c r="BB8" i="2" s="1"/>
  <c r="H722" i="1"/>
  <c r="Y721" i="1"/>
  <c r="V721" i="1"/>
  <c r="T721" i="1"/>
  <c r="BB93" i="2" s="1"/>
  <c r="S721" i="1"/>
  <c r="BB79" i="2" s="1"/>
  <c r="Q721" i="1"/>
  <c r="BB55" i="2" s="1"/>
  <c r="P721" i="1"/>
  <c r="O721" i="1"/>
  <c r="BB31" i="2" s="1"/>
  <c r="N721" i="1"/>
  <c r="L721" i="1"/>
  <c r="BB19" i="2" s="1"/>
  <c r="K721" i="1"/>
  <c r="BB7" i="2" s="1"/>
  <c r="H721" i="1"/>
  <c r="Y720" i="1"/>
  <c r="V720" i="1"/>
  <c r="T720" i="1"/>
  <c r="BB92" i="2" s="1"/>
  <c r="S720" i="1"/>
  <c r="BB78" i="2" s="1"/>
  <c r="Q720" i="1"/>
  <c r="BB54" i="2" s="1"/>
  <c r="P720" i="1"/>
  <c r="AA720" i="1" s="1"/>
  <c r="O720" i="1"/>
  <c r="BB30" i="2" s="1"/>
  <c r="N720" i="1"/>
  <c r="Z720" i="1" s="1"/>
  <c r="L720" i="1"/>
  <c r="K720" i="1"/>
  <c r="BB6" i="2" s="1"/>
  <c r="H720" i="1"/>
  <c r="R720" i="1" s="1"/>
  <c r="Y719" i="1"/>
  <c r="V719" i="1"/>
  <c r="T719" i="1"/>
  <c r="BB91" i="2" s="1"/>
  <c r="S719" i="1"/>
  <c r="BB77" i="2" s="1"/>
  <c r="Q719" i="1"/>
  <c r="BB53" i="2" s="1"/>
  <c r="P719" i="1"/>
  <c r="AA719" i="1" s="1"/>
  <c r="O719" i="1"/>
  <c r="BB29" i="2" s="1"/>
  <c r="N719" i="1"/>
  <c r="Z719" i="1" s="1"/>
  <c r="L719" i="1"/>
  <c r="K719" i="1"/>
  <c r="BB5" i="2" s="1"/>
  <c r="H719" i="1"/>
  <c r="R719" i="1" s="1"/>
  <c r="Y718" i="1"/>
  <c r="V718" i="1"/>
  <c r="T718" i="1"/>
  <c r="BB90" i="2" s="1"/>
  <c r="S718" i="1"/>
  <c r="BB76" i="2" s="1"/>
  <c r="Q718" i="1"/>
  <c r="BB52" i="2" s="1"/>
  <c r="P718" i="1"/>
  <c r="O718" i="1"/>
  <c r="BB28" i="2" s="1"/>
  <c r="N718" i="1"/>
  <c r="L718" i="1"/>
  <c r="BB16" i="2" s="1"/>
  <c r="K718" i="1"/>
  <c r="BB4" i="2" s="1"/>
  <c r="H718" i="1"/>
  <c r="Y717" i="1"/>
  <c r="V717" i="1"/>
  <c r="T717" i="1"/>
  <c r="BB89" i="2" s="1"/>
  <c r="S717" i="1"/>
  <c r="BB75" i="2" s="1"/>
  <c r="Q717" i="1"/>
  <c r="BB51" i="2" s="1"/>
  <c r="P717" i="1"/>
  <c r="O717" i="1"/>
  <c r="BB27" i="2" s="1"/>
  <c r="N717" i="1"/>
  <c r="L717" i="1"/>
  <c r="BB15" i="2" s="1"/>
  <c r="K717" i="1"/>
  <c r="BB3" i="2" s="1"/>
  <c r="H717" i="1"/>
  <c r="AB714" i="1"/>
  <c r="Y714" i="1"/>
  <c r="V714" i="1"/>
  <c r="Q714" i="1"/>
  <c r="BA60" i="2" s="1"/>
  <c r="P714" i="1"/>
  <c r="AA714" i="1" s="1"/>
  <c r="O714" i="1"/>
  <c r="BA36" i="2" s="1"/>
  <c r="N714" i="1"/>
  <c r="Z714" i="1" s="1"/>
  <c r="L714" i="1"/>
  <c r="BA24" i="2" s="1"/>
  <c r="K714" i="1"/>
  <c r="BA12" i="2" s="1"/>
  <c r="H714" i="1"/>
  <c r="R714" i="1" s="1"/>
  <c r="AB713" i="1"/>
  <c r="Y713" i="1"/>
  <c r="V713" i="1"/>
  <c r="Q713" i="1"/>
  <c r="BA59" i="2" s="1"/>
  <c r="P713" i="1"/>
  <c r="BA71" i="2" s="1"/>
  <c r="O713" i="1"/>
  <c r="BA35" i="2" s="1"/>
  <c r="N713" i="1"/>
  <c r="BA47" i="2" s="1"/>
  <c r="L713" i="1"/>
  <c r="BA23" i="2" s="1"/>
  <c r="H713" i="1"/>
  <c r="F186" i="2" s="1"/>
  <c r="AB712" i="1"/>
  <c r="Y712" i="1"/>
  <c r="V712" i="1"/>
  <c r="Q712" i="1"/>
  <c r="BA58" i="2" s="1"/>
  <c r="P712" i="1"/>
  <c r="BA70" i="2" s="1"/>
  <c r="O712" i="1"/>
  <c r="BA34" i="2" s="1"/>
  <c r="N712" i="1"/>
  <c r="BA46" i="2" s="1"/>
  <c r="L712" i="1"/>
  <c r="BA22" i="2" s="1"/>
  <c r="K712" i="1"/>
  <c r="BA10" i="2" s="1"/>
  <c r="H712" i="1"/>
  <c r="BA112" i="2" s="1"/>
  <c r="AB711" i="1"/>
  <c r="Y711" i="1"/>
  <c r="V711" i="1"/>
  <c r="Q711" i="1"/>
  <c r="P711" i="1"/>
  <c r="AA711" i="1" s="1"/>
  <c r="O711" i="1"/>
  <c r="N711" i="1"/>
  <c r="Z711" i="1" s="1"/>
  <c r="L711" i="1"/>
  <c r="W711" i="1" s="1"/>
  <c r="K711" i="1"/>
  <c r="H711" i="1"/>
  <c r="BA111" i="2" s="1"/>
  <c r="AB710" i="1"/>
  <c r="Y710" i="1"/>
  <c r="V710" i="1"/>
  <c r="Q710" i="1"/>
  <c r="P710" i="1"/>
  <c r="AA710" i="1" s="1"/>
  <c r="O710" i="1"/>
  <c r="N710" i="1"/>
  <c r="Z710" i="1" s="1"/>
  <c r="L710" i="1"/>
  <c r="W710" i="1" s="1"/>
  <c r="K710" i="1"/>
  <c r="H710" i="1"/>
  <c r="BA110" i="2" s="1"/>
  <c r="AB709" i="1"/>
  <c r="Y709" i="1"/>
  <c r="V709" i="1"/>
  <c r="Q709" i="1"/>
  <c r="P709" i="1"/>
  <c r="AA709" i="1" s="1"/>
  <c r="O709" i="1"/>
  <c r="N709" i="1"/>
  <c r="Z709" i="1" s="1"/>
  <c r="L709" i="1"/>
  <c r="W709" i="1" s="1"/>
  <c r="H709" i="1"/>
  <c r="G713" i="1"/>
  <c r="R713" i="1" s="1"/>
  <c r="AB708" i="1"/>
  <c r="Y708" i="1"/>
  <c r="V708" i="1"/>
  <c r="Q708" i="1"/>
  <c r="BA56" i="2" s="1"/>
  <c r="P708" i="1"/>
  <c r="AA708" i="1" s="1"/>
  <c r="O708" i="1"/>
  <c r="BA32" i="2" s="1"/>
  <c r="N708" i="1"/>
  <c r="Z708" i="1" s="1"/>
  <c r="L708" i="1"/>
  <c r="BA20" i="2" s="1"/>
  <c r="K708" i="1"/>
  <c r="BA8" i="2" s="1"/>
  <c r="H708" i="1"/>
  <c r="R708" i="1" s="1"/>
  <c r="AB707" i="1"/>
  <c r="Y707" i="1"/>
  <c r="V707" i="1"/>
  <c r="Q707" i="1"/>
  <c r="BA55" i="2" s="1"/>
  <c r="P707" i="1"/>
  <c r="BA67" i="2" s="1"/>
  <c r="O707" i="1"/>
  <c r="BA31" i="2" s="1"/>
  <c r="N707" i="1"/>
  <c r="BA43" i="2" s="1"/>
  <c r="L707" i="1"/>
  <c r="BA19" i="2" s="1"/>
  <c r="K707" i="1"/>
  <c r="BA7" i="2" s="1"/>
  <c r="H707" i="1"/>
  <c r="BA107" i="2" s="1"/>
  <c r="AB706" i="1"/>
  <c r="Y706" i="1"/>
  <c r="V706" i="1"/>
  <c r="Q706" i="1"/>
  <c r="BA54" i="2" s="1"/>
  <c r="P706" i="1"/>
  <c r="AA706" i="1" s="1"/>
  <c r="O706" i="1"/>
  <c r="BA30" i="2" s="1"/>
  <c r="N706" i="1"/>
  <c r="Z706" i="1" s="1"/>
  <c r="L706" i="1"/>
  <c r="BA18" i="2" s="1"/>
  <c r="K706" i="1"/>
  <c r="BA6" i="2" s="1"/>
  <c r="H706" i="1"/>
  <c r="R706" i="1" s="1"/>
  <c r="AB705" i="1"/>
  <c r="Y705" i="1"/>
  <c r="V705" i="1"/>
  <c r="Q705" i="1"/>
  <c r="BA53" i="2" s="1"/>
  <c r="P705" i="1"/>
  <c r="BA65" i="2" s="1"/>
  <c r="O705" i="1"/>
  <c r="BA29" i="2" s="1"/>
  <c r="N705" i="1"/>
  <c r="BA41" i="2" s="1"/>
  <c r="L705" i="1"/>
  <c r="BA17" i="2" s="1"/>
  <c r="K705" i="1"/>
  <c r="BA5" i="2" s="1"/>
  <c r="H705" i="1"/>
  <c r="BA105" i="2" s="1"/>
  <c r="AB704" i="1"/>
  <c r="Y704" i="1"/>
  <c r="V704" i="1"/>
  <c r="Q704" i="1"/>
  <c r="BA52" i="2" s="1"/>
  <c r="P704" i="1"/>
  <c r="AA704" i="1" s="1"/>
  <c r="O704" i="1"/>
  <c r="BA28" i="2" s="1"/>
  <c r="N704" i="1"/>
  <c r="Z704" i="1" s="1"/>
  <c r="L704" i="1"/>
  <c r="BA16" i="2" s="1"/>
  <c r="K704" i="1"/>
  <c r="BA4" i="2" s="1"/>
  <c r="H704" i="1"/>
  <c r="R704" i="1" s="1"/>
  <c r="AB703" i="1"/>
  <c r="Y703" i="1"/>
  <c r="V703" i="1"/>
  <c r="Q703" i="1"/>
  <c r="BA51" i="2" s="1"/>
  <c r="P703" i="1"/>
  <c r="AA703" i="1" s="1"/>
  <c r="O703" i="1"/>
  <c r="BA27" i="2" s="1"/>
  <c r="N703" i="1"/>
  <c r="Z703" i="1" s="1"/>
  <c r="L703" i="1"/>
  <c r="BA15" i="2" s="1"/>
  <c r="K703" i="1"/>
  <c r="BA3" i="2" s="1"/>
  <c r="H703" i="1"/>
  <c r="R703" i="1" s="1"/>
  <c r="R707" i="1" l="1"/>
  <c r="W707" i="1"/>
  <c r="Z707" i="1"/>
  <c r="AA707" i="1"/>
  <c r="R710" i="1"/>
  <c r="R711" i="1"/>
  <c r="R712" i="1"/>
  <c r="W712" i="1"/>
  <c r="Z712" i="1"/>
  <c r="AA712" i="1"/>
  <c r="R717" i="1"/>
  <c r="BB103" i="2"/>
  <c r="Z717" i="1"/>
  <c r="BB39" i="2"/>
  <c r="AA717" i="1"/>
  <c r="BB63" i="2"/>
  <c r="R718" i="1"/>
  <c r="BB104" i="2"/>
  <c r="Z718" i="1"/>
  <c r="BB40" i="2"/>
  <c r="AA718" i="1"/>
  <c r="BB64" i="2"/>
  <c r="R721" i="1"/>
  <c r="BB107" i="2"/>
  <c r="Z721" i="1"/>
  <c r="BB43" i="2"/>
  <c r="AA721" i="1"/>
  <c r="BB67" i="2"/>
  <c r="R722" i="1"/>
  <c r="BB108" i="2"/>
  <c r="Z722" i="1"/>
  <c r="BB44" i="2"/>
  <c r="AA722" i="1"/>
  <c r="BB68" i="2"/>
  <c r="M737" i="1"/>
  <c r="BB109" i="2"/>
  <c r="BB57" i="2"/>
  <c r="AA723" i="1"/>
  <c r="BB69" i="2"/>
  <c r="R724" i="1"/>
  <c r="BB110" i="2"/>
  <c r="R725" i="1"/>
  <c r="BB111" i="2"/>
  <c r="R726" i="1"/>
  <c r="BB112" i="2"/>
  <c r="Z726" i="1"/>
  <c r="BB46" i="2"/>
  <c r="AA726" i="1"/>
  <c r="BB70" i="2"/>
  <c r="Z728" i="1"/>
  <c r="BB48" i="2"/>
  <c r="AA728" i="1"/>
  <c r="BB72" i="2"/>
  <c r="BA39" i="2"/>
  <c r="BA40" i="2"/>
  <c r="BA57" i="2"/>
  <c r="BA63" i="2"/>
  <c r="BA64" i="2"/>
  <c r="BA69" i="2"/>
  <c r="BA103" i="2"/>
  <c r="BA109" i="2"/>
  <c r="BA104" i="2"/>
  <c r="R731" i="1"/>
  <c r="BC103" i="2"/>
  <c r="Z731" i="1"/>
  <c r="BC39" i="2"/>
  <c r="AA731" i="1"/>
  <c r="BC63" i="2"/>
  <c r="R732" i="1"/>
  <c r="BC104" i="2"/>
  <c r="Z732" i="1"/>
  <c r="BC40" i="2"/>
  <c r="AA732" i="1"/>
  <c r="BC64" i="2"/>
  <c r="R735" i="1"/>
  <c r="BC107" i="2"/>
  <c r="Z735" i="1"/>
  <c r="BC43" i="2"/>
  <c r="W735" i="1"/>
  <c r="AA735" i="1"/>
  <c r="BC57" i="2"/>
  <c r="BC109" i="2"/>
  <c r="AA737" i="1"/>
  <c r="BC69" i="2"/>
  <c r="R738" i="1"/>
  <c r="BC110" i="2"/>
  <c r="R739" i="1"/>
  <c r="R740" i="1"/>
  <c r="BC112" i="2"/>
  <c r="Z740" i="1"/>
  <c r="BC46" i="2"/>
  <c r="W740" i="1"/>
  <c r="AA740" i="1"/>
  <c r="Z742" i="1"/>
  <c r="BC48" i="2"/>
  <c r="AA742" i="1"/>
  <c r="BC72" i="2"/>
  <c r="R745" i="1"/>
  <c r="BD103" i="2"/>
  <c r="Z745" i="1"/>
  <c r="BD39" i="2"/>
  <c r="AA745" i="1"/>
  <c r="BD63" i="2"/>
  <c r="R746" i="1"/>
  <c r="BD104" i="2"/>
  <c r="Z746" i="1"/>
  <c r="BD40" i="2"/>
  <c r="AA746" i="1"/>
  <c r="BD64" i="2"/>
  <c r="R749" i="1"/>
  <c r="BD107" i="2"/>
  <c r="Z749" i="1"/>
  <c r="BD43" i="2"/>
  <c r="AA749" i="1"/>
  <c r="BD67" i="2"/>
  <c r="BD109" i="2"/>
  <c r="BD57" i="2"/>
  <c r="AA751" i="1"/>
  <c r="BD69" i="2"/>
  <c r="R752" i="1"/>
  <c r="BD110" i="2"/>
  <c r="R753" i="1"/>
  <c r="BD111" i="2"/>
  <c r="R754" i="1"/>
  <c r="BD112" i="2"/>
  <c r="Z754" i="1"/>
  <c r="BD46" i="2"/>
  <c r="AA754" i="1"/>
  <c r="BD70" i="2"/>
  <c r="Z759" i="1"/>
  <c r="BE39" i="2"/>
  <c r="AA759" i="1"/>
  <c r="BE63" i="2"/>
  <c r="Z760" i="1"/>
  <c r="BE40" i="2"/>
  <c r="AA760" i="1"/>
  <c r="BE64" i="2"/>
  <c r="Z763" i="1"/>
  <c r="BE43" i="2"/>
  <c r="AA763" i="1"/>
  <c r="BE67" i="2"/>
  <c r="Z764" i="1"/>
  <c r="BE44" i="2"/>
  <c r="AA764" i="1"/>
  <c r="BE68" i="2"/>
  <c r="AA765" i="1"/>
  <c r="BE69" i="2"/>
  <c r="Z768" i="1"/>
  <c r="BE46" i="2"/>
  <c r="AA768" i="1"/>
  <c r="BE70" i="2"/>
  <c r="Z770" i="1"/>
  <c r="BE48" i="2"/>
  <c r="AA770" i="1"/>
  <c r="BE72" i="2"/>
  <c r="BF3" i="2"/>
  <c r="BF15" i="2"/>
  <c r="Z773" i="1"/>
  <c r="BF39" i="2"/>
  <c r="BF27" i="2"/>
  <c r="AA773" i="1"/>
  <c r="BF63" i="2"/>
  <c r="BF51" i="2"/>
  <c r="BF4" i="2"/>
  <c r="BF16" i="2"/>
  <c r="BF28" i="2"/>
  <c r="BF52" i="2"/>
  <c r="BF5" i="2"/>
  <c r="BF17" i="2"/>
  <c r="BF29" i="2"/>
  <c r="BF53" i="2"/>
  <c r="BF6" i="2"/>
  <c r="BF18" i="2"/>
  <c r="BF30" i="2"/>
  <c r="BF54" i="2"/>
  <c r="BF7" i="2"/>
  <c r="BF19" i="2"/>
  <c r="Z777" i="1"/>
  <c r="BF43" i="2"/>
  <c r="BF31" i="2"/>
  <c r="AA777" i="1"/>
  <c r="BF67" i="2"/>
  <c r="BF55" i="2"/>
  <c r="BF8" i="2"/>
  <c r="BF20" i="2"/>
  <c r="Z778" i="1"/>
  <c r="BF44" i="2"/>
  <c r="BF32" i="2"/>
  <c r="AA778" i="1"/>
  <c r="BF68" i="2"/>
  <c r="BF56" i="2"/>
  <c r="AA779" i="1"/>
  <c r="BF69" i="2"/>
  <c r="BF10" i="2"/>
  <c r="BF22" i="2"/>
  <c r="Z782" i="1"/>
  <c r="BF46" i="2"/>
  <c r="BF34" i="2"/>
  <c r="AA782" i="1"/>
  <c r="BF70" i="2"/>
  <c r="BF58" i="2"/>
  <c r="BF23" i="2"/>
  <c r="BF35" i="2"/>
  <c r="BF59" i="2"/>
  <c r="BF12" i="2"/>
  <c r="BF24" i="2"/>
  <c r="Z784" i="1"/>
  <c r="BF48" i="2"/>
  <c r="BF36" i="2"/>
  <c r="AA784" i="1"/>
  <c r="BF72" i="2"/>
  <c r="BF60" i="2"/>
  <c r="G192" i="2"/>
  <c r="G193" i="2"/>
  <c r="M193" i="2"/>
  <c r="M194" i="2"/>
  <c r="M195" i="2"/>
  <c r="Z774" i="1"/>
  <c r="BF40" i="2"/>
  <c r="AA774" i="1"/>
  <c r="BF64" i="2"/>
  <c r="Z783" i="1"/>
  <c r="BF47" i="2"/>
  <c r="AA783" i="1"/>
  <c r="BF71" i="2"/>
  <c r="Z775" i="1"/>
  <c r="BF41" i="2"/>
  <c r="AA775" i="1"/>
  <c r="BF65" i="2"/>
  <c r="Z776" i="1"/>
  <c r="BF42" i="2"/>
  <c r="AA776" i="1"/>
  <c r="BF66" i="2"/>
  <c r="Z761" i="1"/>
  <c r="BE41" i="2"/>
  <c r="AA761" i="1"/>
  <c r="BE65" i="2"/>
  <c r="Z762" i="1"/>
  <c r="BE42" i="2"/>
  <c r="AA762" i="1"/>
  <c r="BE66" i="2"/>
  <c r="Z769" i="1"/>
  <c r="BE47" i="2"/>
  <c r="AA769" i="1"/>
  <c r="BE71" i="2"/>
  <c r="Z747" i="1"/>
  <c r="BD41" i="2"/>
  <c r="R747" i="1"/>
  <c r="BD105" i="2"/>
  <c r="AA747" i="1"/>
  <c r="BD65" i="2"/>
  <c r="L189" i="2"/>
  <c r="M190" i="2" s="1"/>
  <c r="Z748" i="1"/>
  <c r="BD42" i="2"/>
  <c r="R748" i="1"/>
  <c r="BD106" i="2"/>
  <c r="AA748" i="1"/>
  <c r="BD66" i="2"/>
  <c r="Z755" i="1"/>
  <c r="BD47" i="2"/>
  <c r="G189" i="2"/>
  <c r="AA755" i="1"/>
  <c r="BD71" i="2"/>
  <c r="M769" i="1"/>
  <c r="Z750" i="1"/>
  <c r="BD44" i="2"/>
  <c r="R750" i="1"/>
  <c r="BD108" i="2"/>
  <c r="AA750" i="1"/>
  <c r="BD68" i="2"/>
  <c r="Z756" i="1"/>
  <c r="BD48" i="2"/>
  <c r="AA756" i="1"/>
  <c r="BD72" i="2"/>
  <c r="M765" i="1"/>
  <c r="W733" i="1"/>
  <c r="E188" i="2"/>
  <c r="W734" i="1"/>
  <c r="R734" i="1"/>
  <c r="Z734" i="1"/>
  <c r="AA734" i="1"/>
  <c r="R733" i="1"/>
  <c r="Z733" i="1"/>
  <c r="AA733" i="1"/>
  <c r="BC105" i="2"/>
  <c r="BC68" i="2"/>
  <c r="BC108" i="2"/>
  <c r="BC44" i="2"/>
  <c r="BC47" i="2"/>
  <c r="G188" i="2"/>
  <c r="BC71" i="2"/>
  <c r="BC23" i="2"/>
  <c r="W736" i="1"/>
  <c r="W732" i="1"/>
  <c r="W742" i="1"/>
  <c r="M755" i="1"/>
  <c r="W731" i="1"/>
  <c r="W738" i="1"/>
  <c r="K737" i="1"/>
  <c r="R737" i="1"/>
  <c r="M751" i="1"/>
  <c r="BB41" i="2"/>
  <c r="M733" i="1"/>
  <c r="L187" i="2"/>
  <c r="M188" i="2" s="1"/>
  <c r="BB17" i="2"/>
  <c r="BB65" i="2"/>
  <c r="BB105" i="2"/>
  <c r="BB42" i="2"/>
  <c r="M734" i="1"/>
  <c r="BB18" i="2"/>
  <c r="BB66" i="2"/>
  <c r="BB106" i="2"/>
  <c r="BB47" i="2"/>
  <c r="M741" i="1"/>
  <c r="BB71" i="2"/>
  <c r="M736" i="1"/>
  <c r="M735" i="1"/>
  <c r="M731" i="1"/>
  <c r="M732" i="1"/>
  <c r="M740" i="1"/>
  <c r="M742" i="1"/>
  <c r="M738" i="1"/>
  <c r="Z705" i="1"/>
  <c r="R705" i="1"/>
  <c r="W705" i="1"/>
  <c r="AA705" i="1"/>
  <c r="G190" i="2"/>
  <c r="L186" i="2"/>
  <c r="BA66" i="2"/>
  <c r="BA42" i="2"/>
  <c r="BA106" i="2"/>
  <c r="Z713" i="1"/>
  <c r="G187" i="2"/>
  <c r="W713" i="1"/>
  <c r="AA713" i="1"/>
  <c r="M727" i="1"/>
  <c r="E186" i="2"/>
  <c r="BA44" i="2"/>
  <c r="BA68" i="2"/>
  <c r="BA108" i="2"/>
  <c r="BA48" i="2"/>
  <c r="BA72" i="2"/>
  <c r="R783" i="1"/>
  <c r="K783" i="1"/>
  <c r="M773" i="1"/>
  <c r="W773" i="1"/>
  <c r="M774" i="1"/>
  <c r="W774" i="1"/>
  <c r="M775" i="1"/>
  <c r="W775" i="1"/>
  <c r="M776" i="1"/>
  <c r="W776" i="1"/>
  <c r="M777" i="1"/>
  <c r="W777" i="1"/>
  <c r="M778" i="1"/>
  <c r="W778" i="1"/>
  <c r="K779" i="1"/>
  <c r="R779" i="1"/>
  <c r="W779" i="1"/>
  <c r="M780" i="1"/>
  <c r="W780" i="1"/>
  <c r="W781" i="1"/>
  <c r="M782" i="1"/>
  <c r="W782" i="1"/>
  <c r="W783" i="1"/>
  <c r="M784" i="1"/>
  <c r="W784" i="1"/>
  <c r="R769" i="1"/>
  <c r="K769" i="1"/>
  <c r="M759" i="1"/>
  <c r="W759" i="1"/>
  <c r="M760" i="1"/>
  <c r="W760" i="1"/>
  <c r="M761" i="1"/>
  <c r="W761" i="1"/>
  <c r="M762" i="1"/>
  <c r="W762" i="1"/>
  <c r="M763" i="1"/>
  <c r="W763" i="1"/>
  <c r="M764" i="1"/>
  <c r="W764" i="1"/>
  <c r="K765" i="1"/>
  <c r="R765" i="1"/>
  <c r="W765" i="1"/>
  <c r="M766" i="1"/>
  <c r="W766" i="1"/>
  <c r="W767" i="1"/>
  <c r="M768" i="1"/>
  <c r="W768" i="1"/>
  <c r="W769" i="1"/>
  <c r="M770" i="1"/>
  <c r="W770" i="1"/>
  <c r="R755" i="1"/>
  <c r="K755" i="1"/>
  <c r="BD11" i="2" s="1"/>
  <c r="M745" i="1"/>
  <c r="W745" i="1"/>
  <c r="M746" i="1"/>
  <c r="W746" i="1"/>
  <c r="M747" i="1"/>
  <c r="W747" i="1"/>
  <c r="M748" i="1"/>
  <c r="W748" i="1"/>
  <c r="M749" i="1"/>
  <c r="W749" i="1"/>
  <c r="M750" i="1"/>
  <c r="W750" i="1"/>
  <c r="K751" i="1"/>
  <c r="R751" i="1"/>
  <c r="W751" i="1"/>
  <c r="M752" i="1"/>
  <c r="W752" i="1"/>
  <c r="W753" i="1"/>
  <c r="M754" i="1"/>
  <c r="W754" i="1"/>
  <c r="W755" i="1"/>
  <c r="M756" i="1"/>
  <c r="W756" i="1"/>
  <c r="K741" i="1"/>
  <c r="W714" i="1"/>
  <c r="W706" i="1"/>
  <c r="W708" i="1"/>
  <c r="W703" i="1"/>
  <c r="W704" i="1"/>
  <c r="K709" i="1"/>
  <c r="R709" i="1"/>
  <c r="M723" i="1"/>
  <c r="R727" i="1"/>
  <c r="K727" i="1"/>
  <c r="M717" i="1"/>
  <c r="W717" i="1"/>
  <c r="M718" i="1"/>
  <c r="W718" i="1"/>
  <c r="M719" i="1"/>
  <c r="W719" i="1"/>
  <c r="M720" i="1"/>
  <c r="W720" i="1"/>
  <c r="M721" i="1"/>
  <c r="W721" i="1"/>
  <c r="M722" i="1"/>
  <c r="W722" i="1"/>
  <c r="K723" i="1"/>
  <c r="R723" i="1"/>
  <c r="W723" i="1"/>
  <c r="M724" i="1"/>
  <c r="W724" i="1"/>
  <c r="W725" i="1"/>
  <c r="M726" i="1"/>
  <c r="W726" i="1"/>
  <c r="W727" i="1"/>
  <c r="M728" i="1"/>
  <c r="W728" i="1"/>
  <c r="K713" i="1"/>
  <c r="W336" i="1"/>
  <c r="V336" i="1"/>
  <c r="W335" i="1"/>
  <c r="V335" i="1"/>
  <c r="W334" i="1"/>
  <c r="V334" i="1"/>
  <c r="W333" i="1"/>
  <c r="V333" i="1"/>
  <c r="W332" i="1"/>
  <c r="V332" i="1"/>
  <c r="W331" i="1"/>
  <c r="V331" i="1"/>
  <c r="W330" i="1"/>
  <c r="V330" i="1"/>
  <c r="W329" i="1"/>
  <c r="V329" i="1"/>
  <c r="W328" i="1"/>
  <c r="V328" i="1"/>
  <c r="W327" i="1"/>
  <c r="V327" i="1"/>
  <c r="W326" i="1"/>
  <c r="V326" i="1"/>
  <c r="W325" i="1"/>
  <c r="V325" i="1"/>
  <c r="G695" i="1"/>
  <c r="H700" i="1"/>
  <c r="M714" i="1" s="1"/>
  <c r="H699" i="1"/>
  <c r="M713" i="1" s="1"/>
  <c r="H698" i="1"/>
  <c r="M712" i="1" s="1"/>
  <c r="H697" i="1"/>
  <c r="H696" i="1"/>
  <c r="M710" i="1" s="1"/>
  <c r="H695" i="1"/>
  <c r="M709" i="1" s="1"/>
  <c r="G699" i="1"/>
  <c r="H694" i="1"/>
  <c r="M708" i="1" s="1"/>
  <c r="H693" i="1"/>
  <c r="M707" i="1" s="1"/>
  <c r="H692" i="1"/>
  <c r="M706" i="1" s="1"/>
  <c r="H691" i="1"/>
  <c r="M705" i="1" s="1"/>
  <c r="H690" i="1"/>
  <c r="M704" i="1" s="1"/>
  <c r="H689" i="1"/>
  <c r="M703" i="1" s="1"/>
  <c r="L184" i="2"/>
  <c r="AZ116" i="2"/>
  <c r="AZ117" i="2"/>
  <c r="AZ118" i="2"/>
  <c r="AZ119" i="2"/>
  <c r="AZ120" i="2"/>
  <c r="AZ121" i="2"/>
  <c r="AZ122" i="2"/>
  <c r="AZ123" i="2"/>
  <c r="AZ124" i="2"/>
  <c r="AZ115" i="2"/>
  <c r="AZ104" i="2"/>
  <c r="AZ105" i="2"/>
  <c r="AZ106" i="2"/>
  <c r="AZ107" i="2"/>
  <c r="AZ108" i="2"/>
  <c r="AZ109" i="2"/>
  <c r="AZ110" i="2"/>
  <c r="AZ111" i="2"/>
  <c r="AZ112" i="2"/>
  <c r="AZ103" i="2"/>
  <c r="AZ57" i="2"/>
  <c r="AZ45" i="2"/>
  <c r="AZ33" i="2"/>
  <c r="AZ21" i="2"/>
  <c r="AZ9" i="2"/>
  <c r="X773" i="1" l="1"/>
  <c r="BF11" i="2"/>
  <c r="X759" i="1"/>
  <c r="BE11" i="2"/>
  <c r="M189" i="2"/>
  <c r="X784" i="1"/>
  <c r="X783" i="1"/>
  <c r="X782" i="1"/>
  <c r="X781" i="1"/>
  <c r="X780" i="1"/>
  <c r="X779" i="1"/>
  <c r="X778" i="1"/>
  <c r="X777" i="1"/>
  <c r="X776" i="1"/>
  <c r="X775" i="1"/>
  <c r="X774" i="1"/>
  <c r="X770" i="1"/>
  <c r="X769" i="1"/>
  <c r="X768" i="1"/>
  <c r="X767" i="1"/>
  <c r="X766" i="1"/>
  <c r="X765" i="1"/>
  <c r="X764" i="1"/>
  <c r="X763" i="1"/>
  <c r="X762" i="1"/>
  <c r="X761" i="1"/>
  <c r="X760" i="1"/>
  <c r="X732" i="1"/>
  <c r="X733" i="1"/>
  <c r="X734" i="1"/>
  <c r="X735" i="1"/>
  <c r="X736" i="1"/>
  <c r="X737" i="1"/>
  <c r="X738" i="1"/>
  <c r="X739" i="1"/>
  <c r="X740" i="1"/>
  <c r="X741" i="1"/>
  <c r="X742" i="1"/>
  <c r="X731" i="1"/>
  <c r="BB11" i="2"/>
  <c r="X718" i="1"/>
  <c r="X719" i="1"/>
  <c r="X720" i="1"/>
  <c r="X721" i="1"/>
  <c r="X722" i="1"/>
  <c r="X723" i="1"/>
  <c r="X724" i="1"/>
  <c r="X725" i="1"/>
  <c r="X726" i="1"/>
  <c r="X727" i="1"/>
  <c r="X728" i="1"/>
  <c r="X717" i="1"/>
  <c r="X704" i="1"/>
  <c r="X705" i="1"/>
  <c r="X706" i="1"/>
  <c r="X707" i="1"/>
  <c r="X708" i="1"/>
  <c r="X709" i="1"/>
  <c r="X710" i="1"/>
  <c r="X711" i="1"/>
  <c r="X712" i="1"/>
  <c r="X713" i="1"/>
  <c r="X714" i="1"/>
  <c r="X703" i="1"/>
  <c r="X746" i="1"/>
  <c r="X747" i="1"/>
  <c r="X748" i="1"/>
  <c r="X749" i="1"/>
  <c r="X750" i="1"/>
  <c r="X751" i="1"/>
  <c r="X752" i="1"/>
  <c r="X753" i="1"/>
  <c r="X755" i="1"/>
  <c r="X756" i="1"/>
  <c r="X745" i="1"/>
  <c r="X754" i="1"/>
  <c r="BC11" i="2"/>
  <c r="M187" i="2"/>
  <c r="L185" i="2"/>
  <c r="G191" i="2"/>
  <c r="BA11" i="2"/>
  <c r="G194" i="2"/>
  <c r="G195" i="2"/>
  <c r="AY116" i="2"/>
  <c r="AY117" i="2"/>
  <c r="AY118" i="2"/>
  <c r="AY119" i="2"/>
  <c r="AY120" i="2"/>
  <c r="AY121" i="2"/>
  <c r="AY122" i="2"/>
  <c r="AY123" i="2"/>
  <c r="AY124" i="2"/>
  <c r="AY115" i="2"/>
  <c r="AY45" i="2"/>
  <c r="AY33" i="2"/>
  <c r="AY21" i="2"/>
  <c r="G681" i="1"/>
  <c r="AY9" i="2" s="1"/>
  <c r="G667" i="1"/>
  <c r="AX116" i="2"/>
  <c r="AX117" i="2"/>
  <c r="AX118" i="2"/>
  <c r="AX119" i="2"/>
  <c r="AX120" i="2"/>
  <c r="AX121" i="2"/>
  <c r="AX122" i="2"/>
  <c r="AX123" i="2"/>
  <c r="AX124" i="2"/>
  <c r="AX115" i="2"/>
  <c r="AX45" i="2"/>
  <c r="AX33" i="2"/>
  <c r="AX21" i="2"/>
  <c r="AX9" i="2"/>
  <c r="Y672" i="1"/>
  <c r="Y671" i="1"/>
  <c r="Y670" i="1"/>
  <c r="Y669" i="1"/>
  <c r="Y668" i="1"/>
  <c r="Y667" i="1"/>
  <c r="Y666" i="1"/>
  <c r="Y665" i="1"/>
  <c r="Y664" i="1"/>
  <c r="Y663" i="1"/>
  <c r="Y662" i="1"/>
  <c r="Y661" i="1"/>
  <c r="K184" i="2" l="1"/>
  <c r="K185" i="2" s="1"/>
  <c r="J184" i="2"/>
  <c r="J185" i="2" s="1"/>
  <c r="I184" i="2"/>
  <c r="F184" i="2"/>
  <c r="F185" i="2" s="1"/>
  <c r="D184" i="2"/>
  <c r="D185" i="2" s="1"/>
  <c r="C184" i="2"/>
  <c r="C185" i="2" s="1"/>
  <c r="G186" i="2" s="1"/>
  <c r="K183" i="2"/>
  <c r="J183" i="2"/>
  <c r="I183" i="2"/>
  <c r="D183" i="2"/>
  <c r="C183" i="2"/>
  <c r="K182" i="2"/>
  <c r="J182" i="2"/>
  <c r="I182" i="2"/>
  <c r="D182" i="2"/>
  <c r="C182" i="2"/>
  <c r="K181" i="2"/>
  <c r="J181" i="2"/>
  <c r="I181" i="2"/>
  <c r="D181" i="2"/>
  <c r="C181" i="2"/>
  <c r="K180" i="2"/>
  <c r="J180" i="2"/>
  <c r="I180" i="2"/>
  <c r="D180" i="2"/>
  <c r="C180" i="2"/>
  <c r="K179" i="2"/>
  <c r="J179" i="2"/>
  <c r="I179" i="2"/>
  <c r="D179" i="2"/>
  <c r="C179" i="2"/>
  <c r="K177" i="2"/>
  <c r="K178" i="2" s="1"/>
  <c r="J177" i="2"/>
  <c r="J178" i="2" s="1"/>
  <c r="I177" i="2"/>
  <c r="D177" i="2"/>
  <c r="D178" i="2" s="1"/>
  <c r="C177" i="2"/>
  <c r="K176" i="2"/>
  <c r="J176" i="2"/>
  <c r="I176" i="2"/>
  <c r="D176" i="2"/>
  <c r="C176" i="2"/>
  <c r="K175" i="2"/>
  <c r="J175" i="2"/>
  <c r="I175" i="2"/>
  <c r="D175" i="2"/>
  <c r="C175" i="2"/>
  <c r="K174" i="2"/>
  <c r="J174" i="2"/>
  <c r="I174" i="2"/>
  <c r="D174" i="2"/>
  <c r="C174" i="2"/>
  <c r="K173" i="2"/>
  <c r="J173" i="2"/>
  <c r="I173" i="2"/>
  <c r="D173" i="2"/>
  <c r="C173" i="2"/>
  <c r="K172" i="2"/>
  <c r="J172" i="2"/>
  <c r="I172" i="2"/>
  <c r="D172" i="2"/>
  <c r="C172" i="2"/>
  <c r="K170" i="2"/>
  <c r="K171" i="2" s="1"/>
  <c r="J170" i="2"/>
  <c r="J171" i="2" s="1"/>
  <c r="I170" i="2"/>
  <c r="D170" i="2"/>
  <c r="D171" i="2" s="1"/>
  <c r="C170" i="2"/>
  <c r="K169" i="2"/>
  <c r="J169" i="2"/>
  <c r="I169" i="2"/>
  <c r="D169" i="2"/>
  <c r="C169" i="2"/>
  <c r="K168" i="2"/>
  <c r="J168" i="2"/>
  <c r="I168" i="2"/>
  <c r="D168" i="2"/>
  <c r="C168" i="2"/>
  <c r="K167" i="2"/>
  <c r="J167" i="2"/>
  <c r="I167" i="2"/>
  <c r="D167" i="2"/>
  <c r="C167" i="2"/>
  <c r="K166" i="2"/>
  <c r="J166" i="2"/>
  <c r="I166" i="2"/>
  <c r="D166" i="2"/>
  <c r="C166" i="2"/>
  <c r="K165" i="2"/>
  <c r="J165" i="2"/>
  <c r="I165" i="2"/>
  <c r="D165" i="2"/>
  <c r="C165" i="2"/>
  <c r="K163" i="2"/>
  <c r="K164" i="2" s="1"/>
  <c r="J163" i="2"/>
  <c r="J164" i="2" s="1"/>
  <c r="I163" i="2"/>
  <c r="D163" i="2"/>
  <c r="D164" i="2" s="1"/>
  <c r="C163" i="2"/>
  <c r="K162" i="2"/>
  <c r="J162" i="2"/>
  <c r="I162" i="2"/>
  <c r="D162" i="2"/>
  <c r="C162" i="2"/>
  <c r="K161" i="2"/>
  <c r="J161" i="2"/>
  <c r="I161" i="2"/>
  <c r="D161" i="2"/>
  <c r="C161" i="2"/>
  <c r="K160" i="2"/>
  <c r="J160" i="2"/>
  <c r="I160" i="2"/>
  <c r="D160" i="2"/>
  <c r="C160" i="2"/>
  <c r="K159" i="2"/>
  <c r="J159" i="2"/>
  <c r="I159" i="2"/>
  <c r="D159" i="2"/>
  <c r="C159" i="2"/>
  <c r="K158" i="2"/>
  <c r="J158" i="2"/>
  <c r="I158" i="2"/>
  <c r="D158" i="2"/>
  <c r="C158" i="2"/>
  <c r="K156" i="2"/>
  <c r="K157" i="2" s="1"/>
  <c r="J156" i="2"/>
  <c r="J157" i="2" s="1"/>
  <c r="I156" i="2"/>
  <c r="D156" i="2"/>
  <c r="D157" i="2" s="1"/>
  <c r="C156" i="2"/>
  <c r="K155" i="2"/>
  <c r="J155" i="2"/>
  <c r="I155" i="2"/>
  <c r="D155" i="2"/>
  <c r="C155" i="2"/>
  <c r="K154" i="2"/>
  <c r="J154" i="2"/>
  <c r="I154" i="2"/>
  <c r="D154" i="2"/>
  <c r="C154" i="2"/>
  <c r="K153" i="2"/>
  <c r="J153" i="2"/>
  <c r="I153" i="2"/>
  <c r="D153" i="2"/>
  <c r="C153" i="2"/>
  <c r="K152" i="2"/>
  <c r="J152" i="2"/>
  <c r="I152" i="2"/>
  <c r="D152" i="2"/>
  <c r="C152" i="2"/>
  <c r="K151" i="2"/>
  <c r="J151" i="2"/>
  <c r="I151" i="2"/>
  <c r="D151" i="2"/>
  <c r="C151" i="2"/>
  <c r="K149" i="2"/>
  <c r="K150" i="2" s="1"/>
  <c r="J149" i="2"/>
  <c r="J150" i="2" s="1"/>
  <c r="I149" i="2"/>
  <c r="D149" i="2"/>
  <c r="D150" i="2" s="1"/>
  <c r="C149" i="2"/>
  <c r="K148" i="2"/>
  <c r="J148" i="2"/>
  <c r="I148" i="2"/>
  <c r="D148" i="2"/>
  <c r="C148" i="2"/>
  <c r="K147" i="2"/>
  <c r="J147" i="2"/>
  <c r="I147" i="2"/>
  <c r="D147" i="2"/>
  <c r="C147" i="2"/>
  <c r="K146" i="2"/>
  <c r="J146" i="2"/>
  <c r="I146" i="2"/>
  <c r="D146" i="2"/>
  <c r="C146" i="2"/>
  <c r="K145" i="2"/>
  <c r="J145" i="2"/>
  <c r="I145" i="2"/>
  <c r="D145" i="2"/>
  <c r="C145" i="2"/>
  <c r="K144" i="2"/>
  <c r="J144" i="2"/>
  <c r="I144" i="2"/>
  <c r="D144" i="2"/>
  <c r="C144" i="2"/>
  <c r="K142" i="2"/>
  <c r="K143" i="2" s="1"/>
  <c r="J142" i="2"/>
  <c r="J143" i="2" s="1"/>
  <c r="I142" i="2"/>
  <c r="D142" i="2"/>
  <c r="D143" i="2" s="1"/>
  <c r="C142" i="2"/>
  <c r="K141" i="2"/>
  <c r="J141" i="2"/>
  <c r="I141" i="2"/>
  <c r="D141" i="2"/>
  <c r="C141" i="2"/>
  <c r="K140" i="2"/>
  <c r="J140" i="2"/>
  <c r="I140" i="2"/>
  <c r="D140" i="2"/>
  <c r="C140" i="2"/>
  <c r="K139" i="2"/>
  <c r="J139" i="2"/>
  <c r="I139" i="2"/>
  <c r="D139" i="2"/>
  <c r="C139" i="2"/>
  <c r="K138" i="2"/>
  <c r="J138" i="2"/>
  <c r="I138" i="2"/>
  <c r="D138" i="2"/>
  <c r="C138" i="2"/>
  <c r="K137" i="2"/>
  <c r="J137" i="2"/>
  <c r="I137" i="2"/>
  <c r="D137" i="2"/>
  <c r="C137" i="2"/>
  <c r="K135" i="2"/>
  <c r="K136" i="2" s="1"/>
  <c r="J135" i="2"/>
  <c r="J136" i="2" s="1"/>
  <c r="I135" i="2"/>
  <c r="D135" i="2"/>
  <c r="D136" i="2" s="1"/>
  <c r="C135" i="2"/>
  <c r="K134" i="2"/>
  <c r="J134" i="2"/>
  <c r="I134" i="2"/>
  <c r="D134" i="2"/>
  <c r="C134" i="2"/>
  <c r="K133" i="2"/>
  <c r="J133" i="2"/>
  <c r="I133" i="2"/>
  <c r="C133" i="2"/>
  <c r="K132" i="2"/>
  <c r="J132" i="2"/>
  <c r="I132" i="2"/>
  <c r="C132" i="2"/>
  <c r="K131" i="2"/>
  <c r="J131" i="2"/>
  <c r="I131" i="2"/>
  <c r="C131" i="2"/>
  <c r="K130" i="2"/>
  <c r="J130" i="2"/>
  <c r="I130" i="2"/>
  <c r="C130" i="2"/>
  <c r="K128" i="2"/>
  <c r="K129" i="2" s="1"/>
  <c r="J128" i="2"/>
  <c r="J129" i="2" s="1"/>
  <c r="I128" i="2"/>
  <c r="C128" i="2"/>
  <c r="K127" i="2"/>
  <c r="J127" i="2"/>
  <c r="I127" i="2"/>
  <c r="AW124" i="2"/>
  <c r="AV124" i="2"/>
  <c r="AU124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AW123" i="2"/>
  <c r="AV123" i="2"/>
  <c r="AU123" i="2"/>
  <c r="AT123" i="2"/>
  <c r="AS123" i="2"/>
  <c r="AR123" i="2"/>
  <c r="AQ123" i="2"/>
  <c r="AP123" i="2"/>
  <c r="AO123" i="2"/>
  <c r="AN123" i="2"/>
  <c r="AM123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AW122" i="2"/>
  <c r="AV122" i="2"/>
  <c r="AU122" i="2"/>
  <c r="AT122" i="2"/>
  <c r="AS122" i="2"/>
  <c r="AR122" i="2"/>
  <c r="AQ122" i="2"/>
  <c r="AP122" i="2"/>
  <c r="AO122" i="2"/>
  <c r="AN122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AW121" i="2"/>
  <c r="AV121" i="2"/>
  <c r="AU121" i="2"/>
  <c r="AT121" i="2"/>
  <c r="AS121" i="2"/>
  <c r="AR121" i="2"/>
  <c r="AQ121" i="2"/>
  <c r="AP121" i="2"/>
  <c r="AO121" i="2"/>
  <c r="AN121" i="2"/>
  <c r="AM121" i="2"/>
  <c r="AL121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AW120" i="2"/>
  <c r="AV120" i="2"/>
  <c r="AU120" i="2"/>
  <c r="AT120" i="2"/>
  <c r="AS120" i="2"/>
  <c r="AR120" i="2"/>
  <c r="AQ120" i="2"/>
  <c r="AP120" i="2"/>
  <c r="AO120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AW119" i="2"/>
  <c r="AV119" i="2"/>
  <c r="AU119" i="2"/>
  <c r="AT119" i="2"/>
  <c r="AS119" i="2"/>
  <c r="AR119" i="2"/>
  <c r="AQ119" i="2"/>
  <c r="AP119" i="2"/>
  <c r="AO119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AW118" i="2"/>
  <c r="AV118" i="2"/>
  <c r="AU118" i="2"/>
  <c r="AT118" i="2"/>
  <c r="AR118" i="2"/>
  <c r="AQ118" i="2"/>
  <c r="AP118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AW116" i="2"/>
  <c r="AV116" i="2"/>
  <c r="AU116" i="2"/>
  <c r="AT116" i="2"/>
  <c r="AS116" i="2"/>
  <c r="AR116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C100" i="2"/>
  <c r="C99" i="2"/>
  <c r="C98" i="2"/>
  <c r="C97" i="2"/>
  <c r="B97" i="2"/>
  <c r="B123" i="2" s="1"/>
  <c r="C96" i="2"/>
  <c r="B96" i="2"/>
  <c r="B122" i="2" s="1"/>
  <c r="C95" i="2"/>
  <c r="B95" i="2"/>
  <c r="B121" i="2" s="1"/>
  <c r="C94" i="2"/>
  <c r="C93" i="2"/>
  <c r="C92" i="2"/>
  <c r="C91" i="2"/>
  <c r="C90" i="2"/>
  <c r="C89" i="2"/>
  <c r="C86" i="2"/>
  <c r="C85" i="2"/>
  <c r="C84" i="2"/>
  <c r="C83" i="2"/>
  <c r="C82" i="2"/>
  <c r="C81" i="2"/>
  <c r="C80" i="2"/>
  <c r="C79" i="2"/>
  <c r="C78" i="2"/>
  <c r="C77" i="2"/>
  <c r="C76" i="2"/>
  <c r="C75" i="2"/>
  <c r="M57" i="2"/>
  <c r="L57" i="2"/>
  <c r="K57" i="2"/>
  <c r="J57" i="2"/>
  <c r="I57" i="2"/>
  <c r="H57" i="2"/>
  <c r="G57" i="2"/>
  <c r="F57" i="2"/>
  <c r="E57" i="2"/>
  <c r="D57" i="2"/>
  <c r="C57" i="2"/>
  <c r="C46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B33" i="2" s="1"/>
  <c r="B45" i="2" s="1"/>
  <c r="B57" i="2" s="1"/>
  <c r="B69" i="2" s="1"/>
  <c r="B20" i="2"/>
  <c r="B32" i="2" s="1"/>
  <c r="B44" i="2" s="1"/>
  <c r="B56" i="2" s="1"/>
  <c r="B68" i="2" s="1"/>
  <c r="B19" i="2"/>
  <c r="B31" i="2" s="1"/>
  <c r="B43" i="2" s="1"/>
  <c r="B55" i="2" s="1"/>
  <c r="B67" i="2" s="1"/>
  <c r="B18" i="2"/>
  <c r="B30" i="2" s="1"/>
  <c r="B42" i="2" s="1"/>
  <c r="B54" i="2" s="1"/>
  <c r="B66" i="2" s="1"/>
  <c r="B16" i="2"/>
  <c r="B28" i="2" s="1"/>
  <c r="B40" i="2" s="1"/>
  <c r="B52" i="2" s="1"/>
  <c r="B64" i="2" s="1"/>
  <c r="B15" i="2"/>
  <c r="B27" i="2" s="1"/>
  <c r="B39" i="2" s="1"/>
  <c r="B51" i="2" s="1"/>
  <c r="B63" i="2" s="1"/>
  <c r="B75" i="2" s="1"/>
  <c r="J14" i="2"/>
  <c r="J26" i="2" s="1"/>
  <c r="J38" i="2" s="1"/>
  <c r="J50" i="2" s="1"/>
  <c r="J62" i="2" s="1"/>
  <c r="I14" i="2"/>
  <c r="I26" i="2" s="1"/>
  <c r="I38" i="2" s="1"/>
  <c r="I50" i="2" s="1"/>
  <c r="I62" i="2" s="1"/>
  <c r="H14" i="2"/>
  <c r="H26" i="2" s="1"/>
  <c r="H38" i="2" s="1"/>
  <c r="H50" i="2" s="1"/>
  <c r="H62" i="2" s="1"/>
  <c r="G14" i="2"/>
  <c r="G26" i="2" s="1"/>
  <c r="G38" i="2" s="1"/>
  <c r="G50" i="2" s="1"/>
  <c r="G62" i="2" s="1"/>
  <c r="F14" i="2"/>
  <c r="F26" i="2" s="1"/>
  <c r="F38" i="2" s="1"/>
  <c r="F50" i="2" s="1"/>
  <c r="F62" i="2" s="1"/>
  <c r="E14" i="2"/>
  <c r="E26" i="2" s="1"/>
  <c r="E38" i="2" s="1"/>
  <c r="E50" i="2" s="1"/>
  <c r="E62" i="2" s="1"/>
  <c r="D14" i="2"/>
  <c r="D26" i="2" s="1"/>
  <c r="D38" i="2" s="1"/>
  <c r="D50" i="2" s="1"/>
  <c r="D62" i="2" s="1"/>
  <c r="C14" i="2"/>
  <c r="C26" i="2" s="1"/>
  <c r="C38" i="2" s="1"/>
  <c r="C50" i="2" s="1"/>
  <c r="C62" i="2" s="1"/>
  <c r="B12" i="2"/>
  <c r="B24" i="2" s="1"/>
  <c r="B36" i="2" s="1"/>
  <c r="B48" i="2" s="1"/>
  <c r="B60" i="2" s="1"/>
  <c r="B72" i="2" s="1"/>
  <c r="B86" i="2" s="1"/>
  <c r="B11" i="2"/>
  <c r="B23" i="2" s="1"/>
  <c r="B35" i="2" s="1"/>
  <c r="B47" i="2" s="1"/>
  <c r="B59" i="2" s="1"/>
  <c r="B71" i="2" s="1"/>
  <c r="B85" i="2" s="1"/>
  <c r="B10" i="2"/>
  <c r="B22" i="2" s="1"/>
  <c r="B34" i="2" s="1"/>
  <c r="B46" i="2" s="1"/>
  <c r="B58" i="2" s="1"/>
  <c r="B70" i="2" s="1"/>
  <c r="B84" i="2" s="1"/>
  <c r="Q9" i="2"/>
  <c r="D9" i="2"/>
  <c r="B5" i="2"/>
  <c r="B17" i="2" s="1"/>
  <c r="B29" i="2" s="1"/>
  <c r="B41" i="2" s="1"/>
  <c r="B53" i="2" s="1"/>
  <c r="B65" i="2" s="1"/>
  <c r="B77" i="2" s="1"/>
  <c r="Y700" i="1"/>
  <c r="V700" i="1"/>
  <c r="T700" i="1"/>
  <c r="AZ100" i="2" s="1"/>
  <c r="S700" i="1"/>
  <c r="AZ86" i="2" s="1"/>
  <c r="R700" i="1"/>
  <c r="Q700" i="1"/>
  <c r="AZ60" i="2" s="1"/>
  <c r="P700" i="1"/>
  <c r="O700" i="1"/>
  <c r="AZ36" i="2" s="1"/>
  <c r="N700" i="1"/>
  <c r="L700" i="1"/>
  <c r="K700" i="1"/>
  <c r="AZ12" i="2" s="1"/>
  <c r="Y699" i="1"/>
  <c r="V699" i="1"/>
  <c r="T699" i="1"/>
  <c r="AZ99" i="2" s="1"/>
  <c r="S699" i="1"/>
  <c r="AZ85" i="2" s="1"/>
  <c r="Q699" i="1"/>
  <c r="AZ59" i="2" s="1"/>
  <c r="P699" i="1"/>
  <c r="O699" i="1"/>
  <c r="AZ35" i="2" s="1"/>
  <c r="N699" i="1"/>
  <c r="L699" i="1"/>
  <c r="E184" i="2"/>
  <c r="E185" i="2" s="1"/>
  <c r="Y698" i="1"/>
  <c r="V698" i="1"/>
  <c r="T698" i="1"/>
  <c r="AZ98" i="2" s="1"/>
  <c r="S698" i="1"/>
  <c r="AZ84" i="2" s="1"/>
  <c r="R698" i="1"/>
  <c r="Q698" i="1"/>
  <c r="AZ58" i="2" s="1"/>
  <c r="P698" i="1"/>
  <c r="O698" i="1"/>
  <c r="AZ34" i="2" s="1"/>
  <c r="N698" i="1"/>
  <c r="L698" i="1"/>
  <c r="AZ22" i="2" s="1"/>
  <c r="K698" i="1"/>
  <c r="AZ10" i="2" s="1"/>
  <c r="Y697" i="1"/>
  <c r="V697" i="1"/>
  <c r="T697" i="1"/>
  <c r="AZ97" i="2" s="1"/>
  <c r="S697" i="1"/>
  <c r="AZ83" i="2" s="1"/>
  <c r="R697" i="1"/>
  <c r="Q697" i="1"/>
  <c r="P697" i="1"/>
  <c r="AA697" i="1" s="1"/>
  <c r="O697" i="1"/>
  <c r="N697" i="1"/>
  <c r="Z697" i="1" s="1"/>
  <c r="L697" i="1"/>
  <c r="K697" i="1"/>
  <c r="Y696" i="1"/>
  <c r="V696" i="1"/>
  <c r="T696" i="1"/>
  <c r="AZ96" i="2" s="1"/>
  <c r="S696" i="1"/>
  <c r="AZ82" i="2" s="1"/>
  <c r="R696" i="1"/>
  <c r="Q696" i="1"/>
  <c r="P696" i="1"/>
  <c r="AA696" i="1" s="1"/>
  <c r="O696" i="1"/>
  <c r="N696" i="1"/>
  <c r="Z696" i="1" s="1"/>
  <c r="L696" i="1"/>
  <c r="K696" i="1"/>
  <c r="Y695" i="1"/>
  <c r="V695" i="1"/>
  <c r="T695" i="1"/>
  <c r="AZ95" i="2" s="1"/>
  <c r="S695" i="1"/>
  <c r="AZ81" i="2" s="1"/>
  <c r="R695" i="1"/>
  <c r="Q695" i="1"/>
  <c r="P695" i="1"/>
  <c r="O695" i="1"/>
  <c r="N695" i="1"/>
  <c r="Z695" i="1" s="1"/>
  <c r="L695" i="1"/>
  <c r="K695" i="1"/>
  <c r="Y694" i="1"/>
  <c r="V694" i="1"/>
  <c r="T694" i="1"/>
  <c r="AZ94" i="2" s="1"/>
  <c r="S694" i="1"/>
  <c r="AZ80" i="2" s="1"/>
  <c r="R694" i="1"/>
  <c r="Q694" i="1"/>
  <c r="AZ56" i="2" s="1"/>
  <c r="P694" i="1"/>
  <c r="O694" i="1"/>
  <c r="AZ32" i="2" s="1"/>
  <c r="N694" i="1"/>
  <c r="L694" i="1"/>
  <c r="AZ20" i="2" s="1"/>
  <c r="K694" i="1"/>
  <c r="AZ8" i="2" s="1"/>
  <c r="Y693" i="1"/>
  <c r="V693" i="1"/>
  <c r="T693" i="1"/>
  <c r="AZ93" i="2" s="1"/>
  <c r="S693" i="1"/>
  <c r="AZ79" i="2" s="1"/>
  <c r="R693" i="1"/>
  <c r="Q693" i="1"/>
  <c r="AZ55" i="2" s="1"/>
  <c r="P693" i="1"/>
  <c r="O693" i="1"/>
  <c r="AZ31" i="2" s="1"/>
  <c r="N693" i="1"/>
  <c r="L693" i="1"/>
  <c r="AZ19" i="2" s="1"/>
  <c r="K693" i="1"/>
  <c r="AZ7" i="2" s="1"/>
  <c r="Y692" i="1"/>
  <c r="V692" i="1"/>
  <c r="T692" i="1"/>
  <c r="AZ92" i="2" s="1"/>
  <c r="S692" i="1"/>
  <c r="AZ78" i="2" s="1"/>
  <c r="R692" i="1"/>
  <c r="Q692" i="1"/>
  <c r="AZ54" i="2" s="1"/>
  <c r="P692" i="1"/>
  <c r="O692" i="1"/>
  <c r="AZ30" i="2" s="1"/>
  <c r="N692" i="1"/>
  <c r="L692" i="1"/>
  <c r="AZ18" i="2" s="1"/>
  <c r="K692" i="1"/>
  <c r="AZ6" i="2" s="1"/>
  <c r="Y691" i="1"/>
  <c r="V691" i="1"/>
  <c r="T691" i="1"/>
  <c r="AZ91" i="2" s="1"/>
  <c r="S691" i="1"/>
  <c r="AZ77" i="2" s="1"/>
  <c r="R691" i="1"/>
  <c r="Q691" i="1"/>
  <c r="AZ53" i="2" s="1"/>
  <c r="P691" i="1"/>
  <c r="O691" i="1"/>
  <c r="AZ29" i="2" s="1"/>
  <c r="N691" i="1"/>
  <c r="L691" i="1"/>
  <c r="AZ17" i="2" s="1"/>
  <c r="K691" i="1"/>
  <c r="AZ5" i="2" s="1"/>
  <c r="Y690" i="1"/>
  <c r="V690" i="1"/>
  <c r="T690" i="1"/>
  <c r="AZ90" i="2" s="1"/>
  <c r="S690" i="1"/>
  <c r="AZ76" i="2" s="1"/>
  <c r="R690" i="1"/>
  <c r="Q690" i="1"/>
  <c r="AZ52" i="2" s="1"/>
  <c r="P690" i="1"/>
  <c r="O690" i="1"/>
  <c r="AZ28" i="2" s="1"/>
  <c r="N690" i="1"/>
  <c r="L690" i="1"/>
  <c r="AZ16" i="2" s="1"/>
  <c r="K690" i="1"/>
  <c r="AZ4" i="2" s="1"/>
  <c r="Y689" i="1"/>
  <c r="V689" i="1"/>
  <c r="T689" i="1"/>
  <c r="AZ89" i="2" s="1"/>
  <c r="S689" i="1"/>
  <c r="AZ75" i="2" s="1"/>
  <c r="R689" i="1"/>
  <c r="Q689" i="1"/>
  <c r="AZ51" i="2" s="1"/>
  <c r="P689" i="1"/>
  <c r="O689" i="1"/>
  <c r="AZ27" i="2" s="1"/>
  <c r="N689" i="1"/>
  <c r="L689" i="1"/>
  <c r="AZ15" i="2" s="1"/>
  <c r="K689" i="1"/>
  <c r="AZ3" i="2" s="1"/>
  <c r="V686" i="1"/>
  <c r="T686" i="1"/>
  <c r="AY100" i="2" s="1"/>
  <c r="S686" i="1"/>
  <c r="AY86" i="2" s="1"/>
  <c r="Q686" i="1"/>
  <c r="AY60" i="2" s="1"/>
  <c r="P686" i="1"/>
  <c r="AY72" i="2" s="1"/>
  <c r="O686" i="1"/>
  <c r="AY36" i="2" s="1"/>
  <c r="N686" i="1"/>
  <c r="AY48" i="2" s="1"/>
  <c r="L686" i="1"/>
  <c r="AY24" i="2" s="1"/>
  <c r="K686" i="1"/>
  <c r="AY12" i="2" s="1"/>
  <c r="H686" i="1"/>
  <c r="M700" i="1" s="1"/>
  <c r="V685" i="1"/>
  <c r="T685" i="1"/>
  <c r="AY99" i="2" s="1"/>
  <c r="S685" i="1"/>
  <c r="AY85" i="2" s="1"/>
  <c r="Q685" i="1"/>
  <c r="AY59" i="2" s="1"/>
  <c r="P685" i="1"/>
  <c r="AY71" i="2" s="1"/>
  <c r="O685" i="1"/>
  <c r="AY35" i="2" s="1"/>
  <c r="N685" i="1"/>
  <c r="AY47" i="2" s="1"/>
  <c r="L685" i="1"/>
  <c r="AY23" i="2" s="1"/>
  <c r="H685" i="1"/>
  <c r="F183" i="2" s="1"/>
  <c r="V684" i="1"/>
  <c r="T684" i="1"/>
  <c r="AY98" i="2" s="1"/>
  <c r="S684" i="1"/>
  <c r="AY84" i="2" s="1"/>
  <c r="Q684" i="1"/>
  <c r="AY58" i="2" s="1"/>
  <c r="P684" i="1"/>
  <c r="AY70" i="2" s="1"/>
  <c r="O684" i="1"/>
  <c r="AY34" i="2" s="1"/>
  <c r="N684" i="1"/>
  <c r="AY46" i="2" s="1"/>
  <c r="L684" i="1"/>
  <c r="AY22" i="2" s="1"/>
  <c r="K684" i="1"/>
  <c r="AY10" i="2" s="1"/>
  <c r="H684" i="1"/>
  <c r="BL57" i="2" s="1"/>
  <c r="V683" i="1"/>
  <c r="T683" i="1"/>
  <c r="AY97" i="2" s="1"/>
  <c r="S683" i="1"/>
  <c r="AY83" i="2" s="1"/>
  <c r="Q683" i="1"/>
  <c r="P683" i="1"/>
  <c r="O683" i="1"/>
  <c r="N683" i="1"/>
  <c r="L683" i="1"/>
  <c r="W683" i="1" s="1"/>
  <c r="K683" i="1"/>
  <c r="H683" i="1"/>
  <c r="AY111" i="2" s="1"/>
  <c r="V682" i="1"/>
  <c r="T682" i="1"/>
  <c r="AY96" i="2" s="1"/>
  <c r="S682" i="1"/>
  <c r="AY82" i="2" s="1"/>
  <c r="Q682" i="1"/>
  <c r="P682" i="1"/>
  <c r="O682" i="1"/>
  <c r="N682" i="1"/>
  <c r="L682" i="1"/>
  <c r="W682" i="1" s="1"/>
  <c r="K682" i="1"/>
  <c r="H682" i="1"/>
  <c r="V681" i="1"/>
  <c r="T681" i="1"/>
  <c r="AY95" i="2" s="1"/>
  <c r="S681" i="1"/>
  <c r="AY81" i="2" s="1"/>
  <c r="Q681" i="1"/>
  <c r="P681" i="1"/>
  <c r="AY69" i="2" s="1"/>
  <c r="O681" i="1"/>
  <c r="N681" i="1"/>
  <c r="L681" i="1"/>
  <c r="W681" i="1" s="1"/>
  <c r="H681" i="1"/>
  <c r="G685" i="1"/>
  <c r="E183" i="2" s="1"/>
  <c r="V680" i="1"/>
  <c r="T680" i="1"/>
  <c r="AY94" i="2" s="1"/>
  <c r="S680" i="1"/>
  <c r="AY80" i="2" s="1"/>
  <c r="Q680" i="1"/>
  <c r="AY56" i="2" s="1"/>
  <c r="P680" i="1"/>
  <c r="AY68" i="2" s="1"/>
  <c r="O680" i="1"/>
  <c r="AY32" i="2" s="1"/>
  <c r="N680" i="1"/>
  <c r="AY44" i="2" s="1"/>
  <c r="L680" i="1"/>
  <c r="AY20" i="2" s="1"/>
  <c r="K680" i="1"/>
  <c r="AY8" i="2" s="1"/>
  <c r="H680" i="1"/>
  <c r="AY108" i="2" s="1"/>
  <c r="V679" i="1"/>
  <c r="T679" i="1"/>
  <c r="AY93" i="2" s="1"/>
  <c r="S679" i="1"/>
  <c r="AY79" i="2" s="1"/>
  <c r="Q679" i="1"/>
  <c r="AY55" i="2" s="1"/>
  <c r="P679" i="1"/>
  <c r="AY67" i="2" s="1"/>
  <c r="O679" i="1"/>
  <c r="AY31" i="2" s="1"/>
  <c r="N679" i="1"/>
  <c r="AY43" i="2" s="1"/>
  <c r="L679" i="1"/>
  <c r="K679" i="1"/>
  <c r="AY7" i="2" s="1"/>
  <c r="H679" i="1"/>
  <c r="V678" i="1"/>
  <c r="T678" i="1"/>
  <c r="AY92" i="2" s="1"/>
  <c r="S678" i="1"/>
  <c r="AY78" i="2" s="1"/>
  <c r="Q678" i="1"/>
  <c r="AY54" i="2" s="1"/>
  <c r="P678" i="1"/>
  <c r="AY66" i="2" s="1"/>
  <c r="O678" i="1"/>
  <c r="AY30" i="2" s="1"/>
  <c r="N678" i="1"/>
  <c r="AY42" i="2" s="1"/>
  <c r="L678" i="1"/>
  <c r="AY18" i="2" s="1"/>
  <c r="K678" i="1"/>
  <c r="AY6" i="2" s="1"/>
  <c r="H678" i="1"/>
  <c r="AY106" i="2" s="1"/>
  <c r="V677" i="1"/>
  <c r="T677" i="1"/>
  <c r="AY91" i="2" s="1"/>
  <c r="S677" i="1"/>
  <c r="AY77" i="2" s="1"/>
  <c r="Q677" i="1"/>
  <c r="AY53" i="2" s="1"/>
  <c r="P677" i="1"/>
  <c r="AY65" i="2" s="1"/>
  <c r="O677" i="1"/>
  <c r="AY29" i="2" s="1"/>
  <c r="N677" i="1"/>
  <c r="AY41" i="2" s="1"/>
  <c r="L677" i="1"/>
  <c r="AY17" i="2" s="1"/>
  <c r="K677" i="1"/>
  <c r="AY5" i="2" s="1"/>
  <c r="H677" i="1"/>
  <c r="V676" i="1"/>
  <c r="T676" i="1"/>
  <c r="AY90" i="2" s="1"/>
  <c r="S676" i="1"/>
  <c r="AY76" i="2" s="1"/>
  <c r="Q676" i="1"/>
  <c r="AY52" i="2" s="1"/>
  <c r="P676" i="1"/>
  <c r="AY64" i="2" s="1"/>
  <c r="O676" i="1"/>
  <c r="AY28" i="2" s="1"/>
  <c r="N676" i="1"/>
  <c r="AY40" i="2" s="1"/>
  <c r="L676" i="1"/>
  <c r="K676" i="1"/>
  <c r="AY4" i="2" s="1"/>
  <c r="H676" i="1"/>
  <c r="V675" i="1"/>
  <c r="T675" i="1"/>
  <c r="AY89" i="2" s="1"/>
  <c r="S675" i="1"/>
  <c r="AY75" i="2" s="1"/>
  <c r="Q675" i="1"/>
  <c r="AY51" i="2" s="1"/>
  <c r="P675" i="1"/>
  <c r="AY63" i="2" s="1"/>
  <c r="O675" i="1"/>
  <c r="AY27" i="2" s="1"/>
  <c r="N675" i="1"/>
  <c r="AY39" i="2" s="1"/>
  <c r="L675" i="1"/>
  <c r="K675" i="1"/>
  <c r="AY3" i="2" s="1"/>
  <c r="H675" i="1"/>
  <c r="V672" i="1"/>
  <c r="T672" i="1"/>
  <c r="AX100" i="2" s="1"/>
  <c r="S672" i="1"/>
  <c r="AX86" i="2" s="1"/>
  <c r="Q672" i="1"/>
  <c r="AX60" i="2" s="1"/>
  <c r="P672" i="1"/>
  <c r="AX72" i="2" s="1"/>
  <c r="O672" i="1"/>
  <c r="AX36" i="2" s="1"/>
  <c r="N672" i="1"/>
  <c r="AX48" i="2" s="1"/>
  <c r="L672" i="1"/>
  <c r="AX24" i="2" s="1"/>
  <c r="K672" i="1"/>
  <c r="AX12" i="2" s="1"/>
  <c r="H672" i="1"/>
  <c r="M686" i="1" s="1"/>
  <c r="V671" i="1"/>
  <c r="T671" i="1"/>
  <c r="AX99" i="2" s="1"/>
  <c r="S671" i="1"/>
  <c r="AX85" i="2" s="1"/>
  <c r="Q671" i="1"/>
  <c r="AX59" i="2" s="1"/>
  <c r="P671" i="1"/>
  <c r="AX71" i="2" s="1"/>
  <c r="O671" i="1"/>
  <c r="AX35" i="2" s="1"/>
  <c r="N671" i="1"/>
  <c r="AX47" i="2" s="1"/>
  <c r="L671" i="1"/>
  <c r="AX23" i="2" s="1"/>
  <c r="H671" i="1"/>
  <c r="F182" i="2" s="1"/>
  <c r="V670" i="1"/>
  <c r="T670" i="1"/>
  <c r="AX98" i="2" s="1"/>
  <c r="S670" i="1"/>
  <c r="AX84" i="2" s="1"/>
  <c r="Q670" i="1"/>
  <c r="AX58" i="2" s="1"/>
  <c r="P670" i="1"/>
  <c r="AX70" i="2" s="1"/>
  <c r="O670" i="1"/>
  <c r="AX34" i="2" s="1"/>
  <c r="N670" i="1"/>
  <c r="AX46" i="2" s="1"/>
  <c r="L670" i="1"/>
  <c r="AX22" i="2" s="1"/>
  <c r="K670" i="1"/>
  <c r="AX10" i="2" s="1"/>
  <c r="H670" i="1"/>
  <c r="V669" i="1"/>
  <c r="T669" i="1"/>
  <c r="AX97" i="2" s="1"/>
  <c r="S669" i="1"/>
  <c r="AX83" i="2" s="1"/>
  <c r="Q669" i="1"/>
  <c r="P669" i="1"/>
  <c r="O669" i="1"/>
  <c r="N669" i="1"/>
  <c r="L669" i="1"/>
  <c r="W669" i="1" s="1"/>
  <c r="K669" i="1"/>
  <c r="H669" i="1"/>
  <c r="AX111" i="2" s="1"/>
  <c r="V668" i="1"/>
  <c r="T668" i="1"/>
  <c r="AX96" i="2" s="1"/>
  <c r="S668" i="1"/>
  <c r="AX82" i="2" s="1"/>
  <c r="Q668" i="1"/>
  <c r="P668" i="1"/>
  <c r="O668" i="1"/>
  <c r="N668" i="1"/>
  <c r="L668" i="1"/>
  <c r="W668" i="1" s="1"/>
  <c r="K668" i="1"/>
  <c r="H668" i="1"/>
  <c r="V667" i="1"/>
  <c r="T667" i="1"/>
  <c r="AX95" i="2" s="1"/>
  <c r="S667" i="1"/>
  <c r="AX81" i="2" s="1"/>
  <c r="Q667" i="1"/>
  <c r="P667" i="1"/>
  <c r="AX69" i="2" s="1"/>
  <c r="O667" i="1"/>
  <c r="N667" i="1"/>
  <c r="L667" i="1"/>
  <c r="W667" i="1" s="1"/>
  <c r="H667" i="1"/>
  <c r="G671" i="1"/>
  <c r="E182" i="2" s="1"/>
  <c r="V666" i="1"/>
  <c r="T666" i="1"/>
  <c r="AX94" i="2" s="1"/>
  <c r="S666" i="1"/>
  <c r="AX80" i="2" s="1"/>
  <c r="Q666" i="1"/>
  <c r="AX56" i="2" s="1"/>
  <c r="P666" i="1"/>
  <c r="AX68" i="2" s="1"/>
  <c r="O666" i="1"/>
  <c r="AX32" i="2" s="1"/>
  <c r="N666" i="1"/>
  <c r="AX44" i="2" s="1"/>
  <c r="L666" i="1"/>
  <c r="K666" i="1"/>
  <c r="AX8" i="2" s="1"/>
  <c r="H666" i="1"/>
  <c r="V665" i="1"/>
  <c r="T665" i="1"/>
  <c r="AX93" i="2" s="1"/>
  <c r="S665" i="1"/>
  <c r="AX79" i="2" s="1"/>
  <c r="Q665" i="1"/>
  <c r="AX55" i="2" s="1"/>
  <c r="P665" i="1"/>
  <c r="AX67" i="2" s="1"/>
  <c r="O665" i="1"/>
  <c r="AX31" i="2" s="1"/>
  <c r="N665" i="1"/>
  <c r="AX43" i="2" s="1"/>
  <c r="L665" i="1"/>
  <c r="AX19" i="2" s="1"/>
  <c r="K665" i="1"/>
  <c r="AX7" i="2" s="1"/>
  <c r="H665" i="1"/>
  <c r="V664" i="1"/>
  <c r="T664" i="1"/>
  <c r="AX92" i="2" s="1"/>
  <c r="S664" i="1"/>
  <c r="AX78" i="2" s="1"/>
  <c r="Q664" i="1"/>
  <c r="AX54" i="2" s="1"/>
  <c r="P664" i="1"/>
  <c r="AX66" i="2" s="1"/>
  <c r="O664" i="1"/>
  <c r="AX30" i="2" s="1"/>
  <c r="N664" i="1"/>
  <c r="AX42" i="2" s="1"/>
  <c r="L664" i="1"/>
  <c r="AX18" i="2" s="1"/>
  <c r="K664" i="1"/>
  <c r="AX6" i="2" s="1"/>
  <c r="H664" i="1"/>
  <c r="AX106" i="2" s="1"/>
  <c r="V663" i="1"/>
  <c r="T663" i="1"/>
  <c r="AX91" i="2" s="1"/>
  <c r="S663" i="1"/>
  <c r="AX77" i="2" s="1"/>
  <c r="Q663" i="1"/>
  <c r="AX53" i="2" s="1"/>
  <c r="P663" i="1"/>
  <c r="AX65" i="2" s="1"/>
  <c r="O663" i="1"/>
  <c r="AX29" i="2" s="1"/>
  <c r="N663" i="1"/>
  <c r="AX41" i="2" s="1"/>
  <c r="L663" i="1"/>
  <c r="AX17" i="2" s="1"/>
  <c r="K663" i="1"/>
  <c r="AX5" i="2" s="1"/>
  <c r="H663" i="1"/>
  <c r="V662" i="1"/>
  <c r="T662" i="1"/>
  <c r="AX90" i="2" s="1"/>
  <c r="S662" i="1"/>
  <c r="AX76" i="2" s="1"/>
  <c r="Q662" i="1"/>
  <c r="AX52" i="2" s="1"/>
  <c r="P662" i="1"/>
  <c r="AX64" i="2" s="1"/>
  <c r="O662" i="1"/>
  <c r="AX28" i="2" s="1"/>
  <c r="N662" i="1"/>
  <c r="AX40" i="2" s="1"/>
  <c r="L662" i="1"/>
  <c r="K662" i="1"/>
  <c r="AX4" i="2" s="1"/>
  <c r="H662" i="1"/>
  <c r="V661" i="1"/>
  <c r="T661" i="1"/>
  <c r="AX89" i="2" s="1"/>
  <c r="S661" i="1"/>
  <c r="AX75" i="2" s="1"/>
  <c r="Q661" i="1"/>
  <c r="AX51" i="2" s="1"/>
  <c r="P661" i="1"/>
  <c r="AX63" i="2" s="1"/>
  <c r="O661" i="1"/>
  <c r="AX27" i="2" s="1"/>
  <c r="N661" i="1"/>
  <c r="AX39" i="2" s="1"/>
  <c r="L661" i="1"/>
  <c r="K661" i="1"/>
  <c r="AX3" i="2" s="1"/>
  <c r="H661" i="1"/>
  <c r="Y658" i="1"/>
  <c r="V658" i="1"/>
  <c r="T658" i="1"/>
  <c r="AW100" i="2" s="1"/>
  <c r="S658" i="1"/>
  <c r="AW86" i="2" s="1"/>
  <c r="Q658" i="1"/>
  <c r="AW60" i="2" s="1"/>
  <c r="P658" i="1"/>
  <c r="AW72" i="2" s="1"/>
  <c r="O658" i="1"/>
  <c r="AW36" i="2" s="1"/>
  <c r="N658" i="1"/>
  <c r="L658" i="1"/>
  <c r="AW24" i="2" s="1"/>
  <c r="K658" i="1"/>
  <c r="AW12" i="2" s="1"/>
  <c r="H658" i="1"/>
  <c r="R658" i="1" s="1"/>
  <c r="Y657" i="1"/>
  <c r="V657" i="1"/>
  <c r="T657" i="1"/>
  <c r="AW99" i="2" s="1"/>
  <c r="S657" i="1"/>
  <c r="AW85" i="2" s="1"/>
  <c r="Q657" i="1"/>
  <c r="AW59" i="2" s="1"/>
  <c r="P657" i="1"/>
  <c r="AW71" i="2" s="1"/>
  <c r="O657" i="1"/>
  <c r="AW35" i="2" s="1"/>
  <c r="N657" i="1"/>
  <c r="L657" i="1"/>
  <c r="AW23" i="2" s="1"/>
  <c r="H657" i="1"/>
  <c r="F181" i="2" s="1"/>
  <c r="Y656" i="1"/>
  <c r="V656" i="1"/>
  <c r="T656" i="1"/>
  <c r="AW98" i="2" s="1"/>
  <c r="S656" i="1"/>
  <c r="AW84" i="2" s="1"/>
  <c r="Q656" i="1"/>
  <c r="AW58" i="2" s="1"/>
  <c r="P656" i="1"/>
  <c r="AW70" i="2" s="1"/>
  <c r="O656" i="1"/>
  <c r="AW34" i="2" s="1"/>
  <c r="N656" i="1"/>
  <c r="L656" i="1"/>
  <c r="AW22" i="2" s="1"/>
  <c r="K656" i="1"/>
  <c r="AW10" i="2" s="1"/>
  <c r="H656" i="1"/>
  <c r="AW112" i="2" s="1"/>
  <c r="Y655" i="1"/>
  <c r="V655" i="1"/>
  <c r="T655" i="1"/>
  <c r="AW97" i="2" s="1"/>
  <c r="S655" i="1"/>
  <c r="AW83" i="2" s="1"/>
  <c r="Q655" i="1"/>
  <c r="P655" i="1"/>
  <c r="O655" i="1"/>
  <c r="N655" i="1"/>
  <c r="L655" i="1"/>
  <c r="K655" i="1"/>
  <c r="H655" i="1"/>
  <c r="AW111" i="2" s="1"/>
  <c r="Y654" i="1"/>
  <c r="V654" i="1"/>
  <c r="T654" i="1"/>
  <c r="AW96" i="2" s="1"/>
  <c r="S654" i="1"/>
  <c r="AW82" i="2" s="1"/>
  <c r="Q654" i="1"/>
  <c r="P654" i="1"/>
  <c r="O654" i="1"/>
  <c r="N654" i="1"/>
  <c r="L654" i="1"/>
  <c r="K654" i="1"/>
  <c r="H654" i="1"/>
  <c r="AW110" i="2" s="1"/>
  <c r="Y653" i="1"/>
  <c r="V653" i="1"/>
  <c r="T653" i="1"/>
  <c r="AW95" i="2" s="1"/>
  <c r="S653" i="1"/>
  <c r="AW81" i="2" s="1"/>
  <c r="Q653" i="1"/>
  <c r="P653" i="1"/>
  <c r="AW69" i="2" s="1"/>
  <c r="O653" i="1"/>
  <c r="N653" i="1"/>
  <c r="L653" i="1"/>
  <c r="H653" i="1"/>
  <c r="AW109" i="2" s="1"/>
  <c r="G653" i="1"/>
  <c r="AW9" i="2" s="1"/>
  <c r="Y652" i="1"/>
  <c r="V652" i="1"/>
  <c r="T652" i="1"/>
  <c r="AW94" i="2" s="1"/>
  <c r="S652" i="1"/>
  <c r="AW80" i="2" s="1"/>
  <c r="Q652" i="1"/>
  <c r="AW56" i="2" s="1"/>
  <c r="P652" i="1"/>
  <c r="AW68" i="2" s="1"/>
  <c r="O652" i="1"/>
  <c r="AW32" i="2" s="1"/>
  <c r="N652" i="1"/>
  <c r="AW44" i="2" s="1"/>
  <c r="L652" i="1"/>
  <c r="AW20" i="2" s="1"/>
  <c r="K652" i="1"/>
  <c r="AW8" i="2" s="1"/>
  <c r="H652" i="1"/>
  <c r="AW108" i="2" s="1"/>
  <c r="Y651" i="1"/>
  <c r="V651" i="1"/>
  <c r="T651" i="1"/>
  <c r="AW93" i="2" s="1"/>
  <c r="S651" i="1"/>
  <c r="AW79" i="2" s="1"/>
  <c r="Q651" i="1"/>
  <c r="AW55" i="2" s="1"/>
  <c r="P651" i="1"/>
  <c r="AW67" i="2" s="1"/>
  <c r="O651" i="1"/>
  <c r="AW31" i="2" s="1"/>
  <c r="N651" i="1"/>
  <c r="AW43" i="2" s="1"/>
  <c r="L651" i="1"/>
  <c r="AW19" i="2" s="1"/>
  <c r="K651" i="1"/>
  <c r="AW7" i="2" s="1"/>
  <c r="H651" i="1"/>
  <c r="AW107" i="2" s="1"/>
  <c r="Y650" i="1"/>
  <c r="V650" i="1"/>
  <c r="T650" i="1"/>
  <c r="AW92" i="2" s="1"/>
  <c r="S650" i="1"/>
  <c r="AW78" i="2" s="1"/>
  <c r="Q650" i="1"/>
  <c r="AW54" i="2" s="1"/>
  <c r="P650" i="1"/>
  <c r="AW66" i="2" s="1"/>
  <c r="O650" i="1"/>
  <c r="AW30" i="2" s="1"/>
  <c r="N650" i="1"/>
  <c r="AW42" i="2" s="1"/>
  <c r="L650" i="1"/>
  <c r="AW18" i="2" s="1"/>
  <c r="K650" i="1"/>
  <c r="AW6" i="2" s="1"/>
  <c r="H650" i="1"/>
  <c r="AW106" i="2" s="1"/>
  <c r="Y649" i="1"/>
  <c r="V649" i="1"/>
  <c r="T649" i="1"/>
  <c r="AW91" i="2" s="1"/>
  <c r="S649" i="1"/>
  <c r="AW77" i="2" s="1"/>
  <c r="Q649" i="1"/>
  <c r="AW53" i="2" s="1"/>
  <c r="P649" i="1"/>
  <c r="AW65" i="2" s="1"/>
  <c r="O649" i="1"/>
  <c r="AW29" i="2" s="1"/>
  <c r="N649" i="1"/>
  <c r="AW41" i="2" s="1"/>
  <c r="L649" i="1"/>
  <c r="AW17" i="2" s="1"/>
  <c r="K649" i="1"/>
  <c r="AW5" i="2" s="1"/>
  <c r="H649" i="1"/>
  <c r="Y648" i="1"/>
  <c r="V648" i="1"/>
  <c r="T648" i="1"/>
  <c r="AW90" i="2" s="1"/>
  <c r="S648" i="1"/>
  <c r="AW76" i="2" s="1"/>
  <c r="Q648" i="1"/>
  <c r="AW52" i="2" s="1"/>
  <c r="P648" i="1"/>
  <c r="AW64" i="2" s="1"/>
  <c r="O648" i="1"/>
  <c r="AW28" i="2" s="1"/>
  <c r="N648" i="1"/>
  <c r="AW40" i="2" s="1"/>
  <c r="L648" i="1"/>
  <c r="AW16" i="2" s="1"/>
  <c r="K648" i="1"/>
  <c r="AW4" i="2" s="1"/>
  <c r="H648" i="1"/>
  <c r="AW104" i="2" s="1"/>
  <c r="Y647" i="1"/>
  <c r="V647" i="1"/>
  <c r="T647" i="1"/>
  <c r="AW89" i="2" s="1"/>
  <c r="S647" i="1"/>
  <c r="AW75" i="2" s="1"/>
  <c r="Q647" i="1"/>
  <c r="AW51" i="2" s="1"/>
  <c r="P647" i="1"/>
  <c r="AW63" i="2" s="1"/>
  <c r="O647" i="1"/>
  <c r="AW27" i="2" s="1"/>
  <c r="N647" i="1"/>
  <c r="AW39" i="2" s="1"/>
  <c r="L647" i="1"/>
  <c r="AW15" i="2" s="1"/>
  <c r="K647" i="1"/>
  <c r="AW3" i="2" s="1"/>
  <c r="H647" i="1"/>
  <c r="AW103" i="2" s="1"/>
  <c r="V644" i="1"/>
  <c r="T644" i="1"/>
  <c r="AV100" i="2" s="1"/>
  <c r="S644" i="1"/>
  <c r="AV86" i="2" s="1"/>
  <c r="Q644" i="1"/>
  <c r="AV60" i="2" s="1"/>
  <c r="P644" i="1"/>
  <c r="AV72" i="2" s="1"/>
  <c r="O644" i="1"/>
  <c r="AV36" i="2" s="1"/>
  <c r="N644" i="1"/>
  <c r="AV48" i="2" s="1"/>
  <c r="L644" i="1"/>
  <c r="AV24" i="2" s="1"/>
  <c r="K644" i="1"/>
  <c r="AV12" i="2" s="1"/>
  <c r="H644" i="1"/>
  <c r="R644" i="1" s="1"/>
  <c r="V643" i="1"/>
  <c r="T643" i="1"/>
  <c r="AV99" i="2" s="1"/>
  <c r="S643" i="1"/>
  <c r="AV85" i="2" s="1"/>
  <c r="Q643" i="1"/>
  <c r="AV59" i="2" s="1"/>
  <c r="P643" i="1"/>
  <c r="AV71" i="2" s="1"/>
  <c r="O643" i="1"/>
  <c r="AV35" i="2" s="1"/>
  <c r="N643" i="1"/>
  <c r="AV47" i="2" s="1"/>
  <c r="L643" i="1"/>
  <c r="AV23" i="2" s="1"/>
  <c r="H643" i="1"/>
  <c r="F180" i="2" s="1"/>
  <c r="V642" i="1"/>
  <c r="T642" i="1"/>
  <c r="AV98" i="2" s="1"/>
  <c r="S642" i="1"/>
  <c r="AV84" i="2" s="1"/>
  <c r="Q642" i="1"/>
  <c r="AV58" i="2" s="1"/>
  <c r="P642" i="1"/>
  <c r="AV70" i="2" s="1"/>
  <c r="O642" i="1"/>
  <c r="AV34" i="2" s="1"/>
  <c r="N642" i="1"/>
  <c r="AV46" i="2" s="1"/>
  <c r="L642" i="1"/>
  <c r="AV22" i="2" s="1"/>
  <c r="K642" i="1"/>
  <c r="AV10" i="2" s="1"/>
  <c r="H642" i="1"/>
  <c r="AV112" i="2" s="1"/>
  <c r="V641" i="1"/>
  <c r="T641" i="1"/>
  <c r="AV97" i="2" s="1"/>
  <c r="S641" i="1"/>
  <c r="AV83" i="2" s="1"/>
  <c r="Q641" i="1"/>
  <c r="P641" i="1"/>
  <c r="O641" i="1"/>
  <c r="N641" i="1"/>
  <c r="L641" i="1"/>
  <c r="K641" i="1"/>
  <c r="H641" i="1"/>
  <c r="AV111" i="2" s="1"/>
  <c r="V640" i="1"/>
  <c r="T640" i="1"/>
  <c r="AV96" i="2" s="1"/>
  <c r="S640" i="1"/>
  <c r="AV82" i="2" s="1"/>
  <c r="Q640" i="1"/>
  <c r="P640" i="1"/>
  <c r="O640" i="1"/>
  <c r="N640" i="1"/>
  <c r="L640" i="1"/>
  <c r="K640" i="1"/>
  <c r="H640" i="1"/>
  <c r="AV110" i="2" s="1"/>
  <c r="V639" i="1"/>
  <c r="T639" i="1"/>
  <c r="AV95" i="2" s="1"/>
  <c r="S639" i="1"/>
  <c r="AV81" i="2" s="1"/>
  <c r="Q639" i="1"/>
  <c r="P639" i="1"/>
  <c r="AV69" i="2" s="1"/>
  <c r="O639" i="1"/>
  <c r="N639" i="1"/>
  <c r="L639" i="1"/>
  <c r="H639" i="1"/>
  <c r="AV109" i="2" s="1"/>
  <c r="G639" i="1"/>
  <c r="AV9" i="2" s="1"/>
  <c r="V638" i="1"/>
  <c r="T638" i="1"/>
  <c r="AV94" i="2" s="1"/>
  <c r="S638" i="1"/>
  <c r="AV80" i="2" s="1"/>
  <c r="Q638" i="1"/>
  <c r="AV56" i="2" s="1"/>
  <c r="P638" i="1"/>
  <c r="AV68" i="2" s="1"/>
  <c r="O638" i="1"/>
  <c r="AV32" i="2" s="1"/>
  <c r="N638" i="1"/>
  <c r="AV44" i="2" s="1"/>
  <c r="L638" i="1"/>
  <c r="AV20" i="2" s="1"/>
  <c r="K638" i="1"/>
  <c r="AV8" i="2" s="1"/>
  <c r="H638" i="1"/>
  <c r="AV108" i="2" s="1"/>
  <c r="V637" i="1"/>
  <c r="T637" i="1"/>
  <c r="AV93" i="2" s="1"/>
  <c r="S637" i="1"/>
  <c r="AV79" i="2" s="1"/>
  <c r="Q637" i="1"/>
  <c r="AV55" i="2" s="1"/>
  <c r="P637" i="1"/>
  <c r="AV67" i="2" s="1"/>
  <c r="O637" i="1"/>
  <c r="AV31" i="2" s="1"/>
  <c r="N637" i="1"/>
  <c r="AV43" i="2" s="1"/>
  <c r="L637" i="1"/>
  <c r="AV19" i="2" s="1"/>
  <c r="K637" i="1"/>
  <c r="AV7" i="2" s="1"/>
  <c r="H637" i="1"/>
  <c r="AV107" i="2" s="1"/>
  <c r="V636" i="1"/>
  <c r="T636" i="1"/>
  <c r="AV92" i="2" s="1"/>
  <c r="S636" i="1"/>
  <c r="AV78" i="2" s="1"/>
  <c r="Q636" i="1"/>
  <c r="AV54" i="2" s="1"/>
  <c r="P636" i="1"/>
  <c r="AV66" i="2" s="1"/>
  <c r="O636" i="1"/>
  <c r="AV30" i="2" s="1"/>
  <c r="N636" i="1"/>
  <c r="AV42" i="2" s="1"/>
  <c r="L636" i="1"/>
  <c r="AV18" i="2" s="1"/>
  <c r="K636" i="1"/>
  <c r="AV6" i="2" s="1"/>
  <c r="H636" i="1"/>
  <c r="AV106" i="2" s="1"/>
  <c r="V635" i="1"/>
  <c r="T635" i="1"/>
  <c r="AV91" i="2" s="1"/>
  <c r="S635" i="1"/>
  <c r="AV77" i="2" s="1"/>
  <c r="Q635" i="1"/>
  <c r="AV53" i="2" s="1"/>
  <c r="P635" i="1"/>
  <c r="AV65" i="2" s="1"/>
  <c r="O635" i="1"/>
  <c r="AV29" i="2" s="1"/>
  <c r="N635" i="1"/>
  <c r="AV41" i="2" s="1"/>
  <c r="L635" i="1"/>
  <c r="AV17" i="2" s="1"/>
  <c r="K635" i="1"/>
  <c r="AV5" i="2" s="1"/>
  <c r="H635" i="1"/>
  <c r="V634" i="1"/>
  <c r="T634" i="1"/>
  <c r="AV90" i="2" s="1"/>
  <c r="S634" i="1"/>
  <c r="AV76" i="2" s="1"/>
  <c r="Q634" i="1"/>
  <c r="AV52" i="2" s="1"/>
  <c r="P634" i="1"/>
  <c r="AV64" i="2" s="1"/>
  <c r="O634" i="1"/>
  <c r="AV28" i="2" s="1"/>
  <c r="N634" i="1"/>
  <c r="AV40" i="2" s="1"/>
  <c r="L634" i="1"/>
  <c r="AV16" i="2" s="1"/>
  <c r="K634" i="1"/>
  <c r="AV4" i="2" s="1"/>
  <c r="H634" i="1"/>
  <c r="AV104" i="2" s="1"/>
  <c r="V633" i="1"/>
  <c r="T633" i="1"/>
  <c r="AV89" i="2" s="1"/>
  <c r="S633" i="1"/>
  <c r="AV75" i="2" s="1"/>
  <c r="Q633" i="1"/>
  <c r="AV51" i="2" s="1"/>
  <c r="P633" i="1"/>
  <c r="AV63" i="2" s="1"/>
  <c r="O633" i="1"/>
  <c r="AV27" i="2" s="1"/>
  <c r="N633" i="1"/>
  <c r="AV39" i="2" s="1"/>
  <c r="L633" i="1"/>
  <c r="AV15" i="2" s="1"/>
  <c r="K633" i="1"/>
  <c r="AV3" i="2" s="1"/>
  <c r="H633" i="1"/>
  <c r="AV103" i="2" s="1"/>
  <c r="W630" i="1"/>
  <c r="V630" i="1"/>
  <c r="T630" i="1"/>
  <c r="AU100" i="2" s="1"/>
  <c r="S630" i="1"/>
  <c r="AU86" i="2" s="1"/>
  <c r="Q630" i="1"/>
  <c r="AU60" i="2" s="1"/>
  <c r="P630" i="1"/>
  <c r="AU72" i="2" s="1"/>
  <c r="O630" i="1"/>
  <c r="AU36" i="2" s="1"/>
  <c r="N630" i="1"/>
  <c r="AU48" i="2" s="1"/>
  <c r="L630" i="1"/>
  <c r="K630" i="1"/>
  <c r="AU12" i="2" s="1"/>
  <c r="H630" i="1"/>
  <c r="R630" i="1" s="1"/>
  <c r="W629" i="1"/>
  <c r="V629" i="1"/>
  <c r="T629" i="1"/>
  <c r="AU99" i="2" s="1"/>
  <c r="S629" i="1"/>
  <c r="AU85" i="2" s="1"/>
  <c r="Q629" i="1"/>
  <c r="AU59" i="2" s="1"/>
  <c r="P629" i="1"/>
  <c r="AU71" i="2" s="1"/>
  <c r="O629" i="1"/>
  <c r="AU35" i="2" s="1"/>
  <c r="N629" i="1"/>
  <c r="AU47" i="2" s="1"/>
  <c r="L629" i="1"/>
  <c r="H629" i="1"/>
  <c r="F179" i="2" s="1"/>
  <c r="W628" i="1"/>
  <c r="V628" i="1"/>
  <c r="T628" i="1"/>
  <c r="AU98" i="2" s="1"/>
  <c r="S628" i="1"/>
  <c r="AU84" i="2" s="1"/>
  <c r="Q628" i="1"/>
  <c r="AU58" i="2" s="1"/>
  <c r="P628" i="1"/>
  <c r="AU70" i="2" s="1"/>
  <c r="O628" i="1"/>
  <c r="AU34" i="2" s="1"/>
  <c r="N628" i="1"/>
  <c r="AU46" i="2" s="1"/>
  <c r="L628" i="1"/>
  <c r="K628" i="1"/>
  <c r="AU10" i="2" s="1"/>
  <c r="H628" i="1"/>
  <c r="AU112" i="2" s="1"/>
  <c r="W627" i="1"/>
  <c r="V627" i="1"/>
  <c r="T627" i="1"/>
  <c r="AU97" i="2" s="1"/>
  <c r="S627" i="1"/>
  <c r="AU83" i="2" s="1"/>
  <c r="Q627" i="1"/>
  <c r="P627" i="1"/>
  <c r="O627" i="1"/>
  <c r="N627" i="1"/>
  <c r="L627" i="1"/>
  <c r="K627" i="1"/>
  <c r="H627" i="1"/>
  <c r="AU111" i="2" s="1"/>
  <c r="W626" i="1"/>
  <c r="V626" i="1"/>
  <c r="T626" i="1"/>
  <c r="AU96" i="2" s="1"/>
  <c r="S626" i="1"/>
  <c r="AU82" i="2" s="1"/>
  <c r="Q626" i="1"/>
  <c r="P626" i="1"/>
  <c r="O626" i="1"/>
  <c r="N626" i="1"/>
  <c r="L626" i="1"/>
  <c r="K626" i="1"/>
  <c r="H626" i="1"/>
  <c r="AU110" i="2" s="1"/>
  <c r="W625" i="1"/>
  <c r="V625" i="1"/>
  <c r="T625" i="1"/>
  <c r="AU95" i="2" s="1"/>
  <c r="S625" i="1"/>
  <c r="AU81" i="2" s="1"/>
  <c r="Q625" i="1"/>
  <c r="P625" i="1"/>
  <c r="AU69" i="2" s="1"/>
  <c r="O625" i="1"/>
  <c r="N625" i="1"/>
  <c r="L625" i="1"/>
  <c r="H625" i="1"/>
  <c r="AU109" i="2" s="1"/>
  <c r="G625" i="1"/>
  <c r="AU9" i="2" s="1"/>
  <c r="W624" i="1"/>
  <c r="V624" i="1"/>
  <c r="T624" i="1"/>
  <c r="AU94" i="2" s="1"/>
  <c r="S624" i="1"/>
  <c r="AU80" i="2" s="1"/>
  <c r="Q624" i="1"/>
  <c r="AU56" i="2" s="1"/>
  <c r="P624" i="1"/>
  <c r="AU68" i="2" s="1"/>
  <c r="O624" i="1"/>
  <c r="AU32" i="2" s="1"/>
  <c r="N624" i="1"/>
  <c r="AU44" i="2" s="1"/>
  <c r="L624" i="1"/>
  <c r="K624" i="1"/>
  <c r="AU8" i="2" s="1"/>
  <c r="H624" i="1"/>
  <c r="AU108" i="2" s="1"/>
  <c r="W623" i="1"/>
  <c r="V623" i="1"/>
  <c r="T623" i="1"/>
  <c r="AU93" i="2" s="1"/>
  <c r="S623" i="1"/>
  <c r="AU79" i="2" s="1"/>
  <c r="Q623" i="1"/>
  <c r="AU55" i="2" s="1"/>
  <c r="P623" i="1"/>
  <c r="AU67" i="2" s="1"/>
  <c r="O623" i="1"/>
  <c r="AU31" i="2" s="1"/>
  <c r="N623" i="1"/>
  <c r="AU43" i="2" s="1"/>
  <c r="L623" i="1"/>
  <c r="K623" i="1"/>
  <c r="AU7" i="2" s="1"/>
  <c r="H623" i="1"/>
  <c r="AU107" i="2" s="1"/>
  <c r="W622" i="1"/>
  <c r="V622" i="1"/>
  <c r="T622" i="1"/>
  <c r="AU92" i="2" s="1"/>
  <c r="S622" i="1"/>
  <c r="AU78" i="2" s="1"/>
  <c r="Q622" i="1"/>
  <c r="AU54" i="2" s="1"/>
  <c r="P622" i="1"/>
  <c r="AU66" i="2" s="1"/>
  <c r="O622" i="1"/>
  <c r="AU30" i="2" s="1"/>
  <c r="N622" i="1"/>
  <c r="AU42" i="2" s="1"/>
  <c r="L622" i="1"/>
  <c r="K622" i="1"/>
  <c r="AU6" i="2" s="1"/>
  <c r="H622" i="1"/>
  <c r="AU106" i="2" s="1"/>
  <c r="W621" i="1"/>
  <c r="V621" i="1"/>
  <c r="T621" i="1"/>
  <c r="AU91" i="2" s="1"/>
  <c r="S621" i="1"/>
  <c r="AU77" i="2" s="1"/>
  <c r="Q621" i="1"/>
  <c r="AU53" i="2" s="1"/>
  <c r="P621" i="1"/>
  <c r="AU65" i="2" s="1"/>
  <c r="O621" i="1"/>
  <c r="AU29" i="2" s="1"/>
  <c r="N621" i="1"/>
  <c r="AU41" i="2" s="1"/>
  <c r="L621" i="1"/>
  <c r="K621" i="1"/>
  <c r="AU5" i="2" s="1"/>
  <c r="H621" i="1"/>
  <c r="W620" i="1"/>
  <c r="V620" i="1"/>
  <c r="T620" i="1"/>
  <c r="AU90" i="2" s="1"/>
  <c r="S620" i="1"/>
  <c r="AU76" i="2" s="1"/>
  <c r="Q620" i="1"/>
  <c r="AU52" i="2" s="1"/>
  <c r="P620" i="1"/>
  <c r="AU64" i="2" s="1"/>
  <c r="O620" i="1"/>
  <c r="AU28" i="2" s="1"/>
  <c r="N620" i="1"/>
  <c r="AU40" i="2" s="1"/>
  <c r="L620" i="1"/>
  <c r="K620" i="1"/>
  <c r="AU4" i="2" s="1"/>
  <c r="H620" i="1"/>
  <c r="AU104" i="2" s="1"/>
  <c r="W619" i="1"/>
  <c r="V619" i="1"/>
  <c r="T619" i="1"/>
  <c r="AU89" i="2" s="1"/>
  <c r="S619" i="1"/>
  <c r="AU75" i="2" s="1"/>
  <c r="Q619" i="1"/>
  <c r="AU51" i="2" s="1"/>
  <c r="P619" i="1"/>
  <c r="AU63" i="2" s="1"/>
  <c r="O619" i="1"/>
  <c r="AU27" i="2" s="1"/>
  <c r="N619" i="1"/>
  <c r="AU39" i="2" s="1"/>
  <c r="L619" i="1"/>
  <c r="K619" i="1"/>
  <c r="AU3" i="2" s="1"/>
  <c r="H619" i="1"/>
  <c r="AU103" i="2" s="1"/>
  <c r="W616" i="1"/>
  <c r="V616" i="1"/>
  <c r="T616" i="1"/>
  <c r="AT100" i="2" s="1"/>
  <c r="S616" i="1"/>
  <c r="AT86" i="2" s="1"/>
  <c r="Q616" i="1"/>
  <c r="AT60" i="2" s="1"/>
  <c r="P616" i="1"/>
  <c r="AT72" i="2" s="1"/>
  <c r="O616" i="1"/>
  <c r="AT36" i="2" s="1"/>
  <c r="N616" i="1"/>
  <c r="AW48" i="2" s="1"/>
  <c r="L616" i="1"/>
  <c r="K616" i="1"/>
  <c r="AT12" i="2" s="1"/>
  <c r="H616" i="1"/>
  <c r="R616" i="1" s="1"/>
  <c r="W615" i="1"/>
  <c r="V615" i="1"/>
  <c r="T615" i="1"/>
  <c r="AT99" i="2" s="1"/>
  <c r="S615" i="1"/>
  <c r="AT85" i="2" s="1"/>
  <c r="Q615" i="1"/>
  <c r="AT59" i="2" s="1"/>
  <c r="P615" i="1"/>
  <c r="AT71" i="2" s="1"/>
  <c r="O615" i="1"/>
  <c r="AT35" i="2" s="1"/>
  <c r="N615" i="1"/>
  <c r="AW47" i="2" s="1"/>
  <c r="L615" i="1"/>
  <c r="H615" i="1"/>
  <c r="F177" i="2" s="1"/>
  <c r="F178" i="2" s="1"/>
  <c r="W614" i="1"/>
  <c r="V614" i="1"/>
  <c r="T614" i="1"/>
  <c r="AT98" i="2" s="1"/>
  <c r="S614" i="1"/>
  <c r="AT84" i="2" s="1"/>
  <c r="Q614" i="1"/>
  <c r="AT58" i="2" s="1"/>
  <c r="P614" i="1"/>
  <c r="AT70" i="2" s="1"/>
  <c r="O614" i="1"/>
  <c r="AT34" i="2" s="1"/>
  <c r="N614" i="1"/>
  <c r="AW46" i="2" s="1"/>
  <c r="L614" i="1"/>
  <c r="K614" i="1"/>
  <c r="AT10" i="2" s="1"/>
  <c r="H614" i="1"/>
  <c r="AT112" i="2" s="1"/>
  <c r="W613" i="1"/>
  <c r="V613" i="1"/>
  <c r="T613" i="1"/>
  <c r="AT97" i="2" s="1"/>
  <c r="S613" i="1"/>
  <c r="AT83" i="2" s="1"/>
  <c r="Q613" i="1"/>
  <c r="P613" i="1"/>
  <c r="O613" i="1"/>
  <c r="N613" i="1"/>
  <c r="L613" i="1"/>
  <c r="K613" i="1"/>
  <c r="H613" i="1"/>
  <c r="AT111" i="2" s="1"/>
  <c r="W612" i="1"/>
  <c r="V612" i="1"/>
  <c r="T612" i="1"/>
  <c r="AT96" i="2" s="1"/>
  <c r="S612" i="1"/>
  <c r="AT82" i="2" s="1"/>
  <c r="Q612" i="1"/>
  <c r="P612" i="1"/>
  <c r="O612" i="1"/>
  <c r="N612" i="1"/>
  <c r="L612" i="1"/>
  <c r="K612" i="1"/>
  <c r="H612" i="1"/>
  <c r="AT110" i="2" s="1"/>
  <c r="W611" i="1"/>
  <c r="V611" i="1"/>
  <c r="T611" i="1"/>
  <c r="AT95" i="2" s="1"/>
  <c r="S611" i="1"/>
  <c r="AT81" i="2" s="1"/>
  <c r="Q611" i="1"/>
  <c r="P611" i="1"/>
  <c r="AT69" i="2" s="1"/>
  <c r="O611" i="1"/>
  <c r="N611" i="1"/>
  <c r="L611" i="1"/>
  <c r="H611" i="1"/>
  <c r="AT109" i="2" s="1"/>
  <c r="G611" i="1"/>
  <c r="AT9" i="2" s="1"/>
  <c r="W610" i="1"/>
  <c r="V610" i="1"/>
  <c r="T610" i="1"/>
  <c r="AT94" i="2" s="1"/>
  <c r="S610" i="1"/>
  <c r="AT80" i="2" s="1"/>
  <c r="Q610" i="1"/>
  <c r="AT56" i="2" s="1"/>
  <c r="P610" i="1"/>
  <c r="AT68" i="2" s="1"/>
  <c r="O610" i="1"/>
  <c r="AT32" i="2" s="1"/>
  <c r="N610" i="1"/>
  <c r="AT44" i="2" s="1"/>
  <c r="L610" i="1"/>
  <c r="K610" i="1"/>
  <c r="AT8" i="2" s="1"/>
  <c r="H610" i="1"/>
  <c r="AT108" i="2" s="1"/>
  <c r="W609" i="1"/>
  <c r="V609" i="1"/>
  <c r="T609" i="1"/>
  <c r="AT93" i="2" s="1"/>
  <c r="S609" i="1"/>
  <c r="AT79" i="2" s="1"/>
  <c r="Q609" i="1"/>
  <c r="AT55" i="2" s="1"/>
  <c r="P609" i="1"/>
  <c r="AT67" i="2" s="1"/>
  <c r="O609" i="1"/>
  <c r="AT31" i="2" s="1"/>
  <c r="N609" i="1"/>
  <c r="AT43" i="2" s="1"/>
  <c r="L609" i="1"/>
  <c r="K609" i="1"/>
  <c r="AT7" i="2" s="1"/>
  <c r="H609" i="1"/>
  <c r="AT107" i="2" s="1"/>
  <c r="W608" i="1"/>
  <c r="V608" i="1"/>
  <c r="S608" i="1"/>
  <c r="AT78" i="2" s="1"/>
  <c r="Q608" i="1"/>
  <c r="AT54" i="2" s="1"/>
  <c r="P608" i="1"/>
  <c r="AT66" i="2" s="1"/>
  <c r="O608" i="1"/>
  <c r="AT30" i="2" s="1"/>
  <c r="N608" i="1"/>
  <c r="AT42" i="2" s="1"/>
  <c r="L608" i="1"/>
  <c r="K608" i="1"/>
  <c r="AT6" i="2" s="1"/>
  <c r="H608" i="1"/>
  <c r="AT106" i="2" s="1"/>
  <c r="W607" i="1"/>
  <c r="V607" i="1"/>
  <c r="T607" i="1"/>
  <c r="AT91" i="2" s="1"/>
  <c r="S607" i="1"/>
  <c r="AT77" i="2" s="1"/>
  <c r="Q607" i="1"/>
  <c r="AT53" i="2" s="1"/>
  <c r="P607" i="1"/>
  <c r="AT65" i="2" s="1"/>
  <c r="O607" i="1"/>
  <c r="AT29" i="2" s="1"/>
  <c r="N607" i="1"/>
  <c r="AT41" i="2" s="1"/>
  <c r="L607" i="1"/>
  <c r="K607" i="1"/>
  <c r="AT5" i="2" s="1"/>
  <c r="H607" i="1"/>
  <c r="W606" i="1"/>
  <c r="V606" i="1"/>
  <c r="T606" i="1"/>
  <c r="AT90" i="2" s="1"/>
  <c r="S606" i="1"/>
  <c r="AT76" i="2" s="1"/>
  <c r="Q606" i="1"/>
  <c r="AT52" i="2" s="1"/>
  <c r="P606" i="1"/>
  <c r="AT64" i="2" s="1"/>
  <c r="O606" i="1"/>
  <c r="AT28" i="2" s="1"/>
  <c r="N606" i="1"/>
  <c r="AT40" i="2" s="1"/>
  <c r="L606" i="1"/>
  <c r="K606" i="1"/>
  <c r="AT4" i="2" s="1"/>
  <c r="H606" i="1"/>
  <c r="AT104" i="2" s="1"/>
  <c r="W605" i="1"/>
  <c r="V605" i="1"/>
  <c r="T605" i="1"/>
  <c r="AT89" i="2" s="1"/>
  <c r="S605" i="1"/>
  <c r="AT75" i="2" s="1"/>
  <c r="Q605" i="1"/>
  <c r="AT51" i="2" s="1"/>
  <c r="P605" i="1"/>
  <c r="AT63" i="2" s="1"/>
  <c r="O605" i="1"/>
  <c r="AT27" i="2" s="1"/>
  <c r="N605" i="1"/>
  <c r="AT39" i="2" s="1"/>
  <c r="L605" i="1"/>
  <c r="K605" i="1"/>
  <c r="AT3" i="2" s="1"/>
  <c r="H605" i="1"/>
  <c r="AT103" i="2" s="1"/>
  <c r="W602" i="1"/>
  <c r="V602" i="1"/>
  <c r="T602" i="1"/>
  <c r="AS100" i="2" s="1"/>
  <c r="S602" i="1"/>
  <c r="AS86" i="2" s="1"/>
  <c r="Q602" i="1"/>
  <c r="AS60" i="2" s="1"/>
  <c r="P602" i="1"/>
  <c r="AS72" i="2" s="1"/>
  <c r="O602" i="1"/>
  <c r="AS36" i="2" s="1"/>
  <c r="N602" i="1"/>
  <c r="AS48" i="2" s="1"/>
  <c r="L602" i="1"/>
  <c r="K602" i="1"/>
  <c r="AS12" i="2" s="1"/>
  <c r="H602" i="1"/>
  <c r="R602" i="1" s="1"/>
  <c r="W601" i="1"/>
  <c r="V601" i="1"/>
  <c r="T601" i="1"/>
  <c r="AS99" i="2" s="1"/>
  <c r="Q601" i="1"/>
  <c r="AS59" i="2" s="1"/>
  <c r="P601" i="1"/>
  <c r="AS71" i="2" s="1"/>
  <c r="O601" i="1"/>
  <c r="AS35" i="2" s="1"/>
  <c r="N601" i="1"/>
  <c r="AS47" i="2" s="1"/>
  <c r="L601" i="1"/>
  <c r="H601" i="1"/>
  <c r="F176" i="2" s="1"/>
  <c r="W600" i="1"/>
  <c r="V600" i="1"/>
  <c r="T600" i="1"/>
  <c r="AS98" i="2" s="1"/>
  <c r="S600" i="1"/>
  <c r="Q600" i="1"/>
  <c r="AS58" i="2" s="1"/>
  <c r="P600" i="1"/>
  <c r="AS70" i="2" s="1"/>
  <c r="O600" i="1"/>
  <c r="AS34" i="2" s="1"/>
  <c r="N600" i="1"/>
  <c r="AS46" i="2" s="1"/>
  <c r="L600" i="1"/>
  <c r="K600" i="1"/>
  <c r="AS10" i="2" s="1"/>
  <c r="H600" i="1"/>
  <c r="AS112" i="2" s="1"/>
  <c r="W599" i="1"/>
  <c r="V599" i="1"/>
  <c r="T599" i="1"/>
  <c r="AS97" i="2" s="1"/>
  <c r="S599" i="1"/>
  <c r="AS83" i="2" s="1"/>
  <c r="Q599" i="1"/>
  <c r="P599" i="1"/>
  <c r="O599" i="1"/>
  <c r="N599" i="1"/>
  <c r="L599" i="1"/>
  <c r="K599" i="1"/>
  <c r="H599" i="1"/>
  <c r="AS111" i="2" s="1"/>
  <c r="W598" i="1"/>
  <c r="V598" i="1"/>
  <c r="T598" i="1"/>
  <c r="AS96" i="2" s="1"/>
  <c r="S598" i="1"/>
  <c r="AS82" i="2" s="1"/>
  <c r="Q598" i="1"/>
  <c r="P598" i="1"/>
  <c r="O598" i="1"/>
  <c r="N598" i="1"/>
  <c r="L598" i="1"/>
  <c r="K598" i="1"/>
  <c r="H598" i="1"/>
  <c r="AS110" i="2" s="1"/>
  <c r="W597" i="1"/>
  <c r="V597" i="1"/>
  <c r="T597" i="1"/>
  <c r="AS95" i="2" s="1"/>
  <c r="S597" i="1"/>
  <c r="AS81" i="2" s="1"/>
  <c r="Q597" i="1"/>
  <c r="P597" i="1"/>
  <c r="AS69" i="2" s="1"/>
  <c r="O597" i="1"/>
  <c r="N597" i="1"/>
  <c r="L597" i="1"/>
  <c r="H597" i="1"/>
  <c r="AS109" i="2" s="1"/>
  <c r="G597" i="1"/>
  <c r="AS9" i="2" s="1"/>
  <c r="W596" i="1"/>
  <c r="V596" i="1"/>
  <c r="T596" i="1"/>
  <c r="AS94" i="2" s="1"/>
  <c r="S596" i="1"/>
  <c r="AS80" i="2" s="1"/>
  <c r="Q596" i="1"/>
  <c r="AS56" i="2" s="1"/>
  <c r="P596" i="1"/>
  <c r="AS68" i="2" s="1"/>
  <c r="O596" i="1"/>
  <c r="AS32" i="2" s="1"/>
  <c r="N596" i="1"/>
  <c r="AS44" i="2" s="1"/>
  <c r="L596" i="1"/>
  <c r="K596" i="1"/>
  <c r="AS8" i="2" s="1"/>
  <c r="H596" i="1"/>
  <c r="AS108" i="2" s="1"/>
  <c r="W595" i="1"/>
  <c r="V595" i="1"/>
  <c r="T595" i="1"/>
  <c r="AS93" i="2" s="1"/>
  <c r="S595" i="1"/>
  <c r="AS79" i="2" s="1"/>
  <c r="Q595" i="1"/>
  <c r="AS55" i="2" s="1"/>
  <c r="P595" i="1"/>
  <c r="AS67" i="2" s="1"/>
  <c r="O595" i="1"/>
  <c r="AS31" i="2" s="1"/>
  <c r="N595" i="1"/>
  <c r="AS43" i="2" s="1"/>
  <c r="L595" i="1"/>
  <c r="K595" i="1"/>
  <c r="AS7" i="2" s="1"/>
  <c r="H595" i="1"/>
  <c r="AS107" i="2" s="1"/>
  <c r="V594" i="1"/>
  <c r="S594" i="1"/>
  <c r="AS78" i="2" s="1"/>
  <c r="L594" i="1"/>
  <c r="K594" i="1"/>
  <c r="AS6" i="2" s="1"/>
  <c r="F594" i="1"/>
  <c r="AS118" i="2" s="1"/>
  <c r="W593" i="1"/>
  <c r="V593" i="1"/>
  <c r="T593" i="1"/>
  <c r="AS91" i="2" s="1"/>
  <c r="S593" i="1"/>
  <c r="AS77" i="2" s="1"/>
  <c r="Q593" i="1"/>
  <c r="AS53" i="2" s="1"/>
  <c r="P593" i="1"/>
  <c r="AS65" i="2" s="1"/>
  <c r="O593" i="1"/>
  <c r="AS29" i="2" s="1"/>
  <c r="N593" i="1"/>
  <c r="AS41" i="2" s="1"/>
  <c r="L593" i="1"/>
  <c r="K593" i="1"/>
  <c r="AS5" i="2" s="1"/>
  <c r="H593" i="1"/>
  <c r="W592" i="1"/>
  <c r="V592" i="1"/>
  <c r="T592" i="1"/>
  <c r="AS90" i="2" s="1"/>
  <c r="Q592" i="1"/>
  <c r="AS52" i="2" s="1"/>
  <c r="P592" i="1"/>
  <c r="AS64" i="2" s="1"/>
  <c r="O592" i="1"/>
  <c r="AS28" i="2" s="1"/>
  <c r="N592" i="1"/>
  <c r="AS40" i="2" s="1"/>
  <c r="L592" i="1"/>
  <c r="K592" i="1"/>
  <c r="AS4" i="2" s="1"/>
  <c r="H592" i="1"/>
  <c r="AS104" i="2" s="1"/>
  <c r="W591" i="1"/>
  <c r="V591" i="1"/>
  <c r="T591" i="1"/>
  <c r="AS89" i="2" s="1"/>
  <c r="S591" i="1"/>
  <c r="AS75" i="2" s="1"/>
  <c r="Q591" i="1"/>
  <c r="AS51" i="2" s="1"/>
  <c r="P591" i="1"/>
  <c r="AS63" i="2" s="1"/>
  <c r="O591" i="1"/>
  <c r="AS27" i="2" s="1"/>
  <c r="N591" i="1"/>
  <c r="AS39" i="2" s="1"/>
  <c r="L591" i="1"/>
  <c r="K591" i="1"/>
  <c r="AS3" i="2" s="1"/>
  <c r="H591" i="1"/>
  <c r="AS103" i="2" s="1"/>
  <c r="W588" i="1"/>
  <c r="V588" i="1"/>
  <c r="T588" i="1"/>
  <c r="AR100" i="2" s="1"/>
  <c r="S588" i="1"/>
  <c r="AR86" i="2" s="1"/>
  <c r="Q588" i="1"/>
  <c r="AR60" i="2" s="1"/>
  <c r="P588" i="1"/>
  <c r="AR72" i="2" s="1"/>
  <c r="O588" i="1"/>
  <c r="AR36" i="2" s="1"/>
  <c r="N588" i="1"/>
  <c r="AR48" i="2" s="1"/>
  <c r="L588" i="1"/>
  <c r="K588" i="1"/>
  <c r="AR12" i="2" s="1"/>
  <c r="H588" i="1"/>
  <c r="R588" i="1" s="1"/>
  <c r="V587" i="1"/>
  <c r="T587" i="1"/>
  <c r="AR99" i="2" s="1"/>
  <c r="O587" i="1"/>
  <c r="AR35" i="2" s="1"/>
  <c r="N587" i="1"/>
  <c r="AR47" i="2" s="1"/>
  <c r="C587" i="1"/>
  <c r="S601" i="1" s="1"/>
  <c r="AS85" i="2" s="1"/>
  <c r="W586" i="1"/>
  <c r="V586" i="1"/>
  <c r="T586" i="1"/>
  <c r="AR98" i="2" s="1"/>
  <c r="S586" i="1"/>
  <c r="AR84" i="2" s="1"/>
  <c r="Q586" i="1"/>
  <c r="AR58" i="2" s="1"/>
  <c r="P586" i="1"/>
  <c r="AR70" i="2" s="1"/>
  <c r="O586" i="1"/>
  <c r="AR34" i="2" s="1"/>
  <c r="N586" i="1"/>
  <c r="AR46" i="2" s="1"/>
  <c r="L586" i="1"/>
  <c r="K586" i="1"/>
  <c r="AR10" i="2" s="1"/>
  <c r="H586" i="1"/>
  <c r="AR112" i="2" s="1"/>
  <c r="W585" i="1"/>
  <c r="V585" i="1"/>
  <c r="T585" i="1"/>
  <c r="AR97" i="2" s="1"/>
  <c r="S585" i="1"/>
  <c r="AR83" i="2" s="1"/>
  <c r="Q585" i="1"/>
  <c r="P585" i="1"/>
  <c r="O585" i="1"/>
  <c r="N585" i="1"/>
  <c r="L585" i="1"/>
  <c r="K585" i="1"/>
  <c r="H585" i="1"/>
  <c r="AR111" i="2" s="1"/>
  <c r="W584" i="1"/>
  <c r="V584" i="1"/>
  <c r="T584" i="1"/>
  <c r="AR96" i="2" s="1"/>
  <c r="S584" i="1"/>
  <c r="AR82" i="2" s="1"/>
  <c r="Q584" i="1"/>
  <c r="P584" i="1"/>
  <c r="O584" i="1"/>
  <c r="N584" i="1"/>
  <c r="L584" i="1"/>
  <c r="K584" i="1"/>
  <c r="H584" i="1"/>
  <c r="AR110" i="2" s="1"/>
  <c r="W583" i="1"/>
  <c r="V583" i="1"/>
  <c r="T583" i="1"/>
  <c r="AR95" i="2" s="1"/>
  <c r="S583" i="1"/>
  <c r="AR81" i="2" s="1"/>
  <c r="Q583" i="1"/>
  <c r="P583" i="1"/>
  <c r="AR69" i="2" s="1"/>
  <c r="O583" i="1"/>
  <c r="N583" i="1"/>
  <c r="L583" i="1"/>
  <c r="H583" i="1"/>
  <c r="AR109" i="2" s="1"/>
  <c r="G583" i="1"/>
  <c r="AR9" i="2" s="1"/>
  <c r="W582" i="1"/>
  <c r="V582" i="1"/>
  <c r="T582" i="1"/>
  <c r="AR94" i="2" s="1"/>
  <c r="S582" i="1"/>
  <c r="AR80" i="2" s="1"/>
  <c r="Q582" i="1"/>
  <c r="AR56" i="2" s="1"/>
  <c r="P582" i="1"/>
  <c r="AR68" i="2" s="1"/>
  <c r="O582" i="1"/>
  <c r="AR32" i="2" s="1"/>
  <c r="N582" i="1"/>
  <c r="AR44" i="2" s="1"/>
  <c r="L582" i="1"/>
  <c r="K582" i="1"/>
  <c r="AR8" i="2" s="1"/>
  <c r="H582" i="1"/>
  <c r="AR108" i="2" s="1"/>
  <c r="W581" i="1"/>
  <c r="V581" i="1"/>
  <c r="T581" i="1"/>
  <c r="AR93" i="2" s="1"/>
  <c r="S581" i="1"/>
  <c r="Q581" i="1"/>
  <c r="AR55" i="2" s="1"/>
  <c r="P581" i="1"/>
  <c r="AR67" i="2" s="1"/>
  <c r="O581" i="1"/>
  <c r="AR31" i="2" s="1"/>
  <c r="N581" i="1"/>
  <c r="AR43" i="2" s="1"/>
  <c r="L581" i="1"/>
  <c r="K581" i="1"/>
  <c r="AR7" i="2" s="1"/>
  <c r="H581" i="1"/>
  <c r="AR107" i="2" s="1"/>
  <c r="W580" i="1"/>
  <c r="V580" i="1"/>
  <c r="T580" i="1"/>
  <c r="AR92" i="2" s="1"/>
  <c r="S580" i="1"/>
  <c r="AR78" i="2" s="1"/>
  <c r="Q580" i="1"/>
  <c r="AR54" i="2" s="1"/>
  <c r="P580" i="1"/>
  <c r="AR66" i="2" s="1"/>
  <c r="O580" i="1"/>
  <c r="AR30" i="2" s="1"/>
  <c r="N580" i="1"/>
  <c r="AR42" i="2" s="1"/>
  <c r="L580" i="1"/>
  <c r="K580" i="1"/>
  <c r="AR6" i="2" s="1"/>
  <c r="H580" i="1"/>
  <c r="AR106" i="2" s="1"/>
  <c r="W579" i="1"/>
  <c r="V579" i="1"/>
  <c r="T579" i="1"/>
  <c r="AR91" i="2" s="1"/>
  <c r="S579" i="1"/>
  <c r="AR77" i="2" s="1"/>
  <c r="Q579" i="1"/>
  <c r="AR53" i="2" s="1"/>
  <c r="P579" i="1"/>
  <c r="AR65" i="2" s="1"/>
  <c r="O579" i="1"/>
  <c r="AR29" i="2" s="1"/>
  <c r="N579" i="1"/>
  <c r="AR41" i="2" s="1"/>
  <c r="L579" i="1"/>
  <c r="K579" i="1"/>
  <c r="AR5" i="2" s="1"/>
  <c r="H579" i="1"/>
  <c r="V578" i="1"/>
  <c r="T578" i="1"/>
  <c r="AR90" i="2" s="1"/>
  <c r="O578" i="1"/>
  <c r="AR28" i="2" s="1"/>
  <c r="N578" i="1"/>
  <c r="AR40" i="2" s="1"/>
  <c r="K578" i="1"/>
  <c r="AR4" i="2" s="1"/>
  <c r="C578" i="1"/>
  <c r="S592" i="1" s="1"/>
  <c r="AS76" i="2" s="1"/>
  <c r="W577" i="1"/>
  <c r="V577" i="1"/>
  <c r="T577" i="1"/>
  <c r="AR89" i="2" s="1"/>
  <c r="S577" i="1"/>
  <c r="AR75" i="2" s="1"/>
  <c r="Q577" i="1"/>
  <c r="AR51" i="2" s="1"/>
  <c r="P577" i="1"/>
  <c r="AR63" i="2" s="1"/>
  <c r="O577" i="1"/>
  <c r="AR27" i="2" s="1"/>
  <c r="N577" i="1"/>
  <c r="AR39" i="2" s="1"/>
  <c r="L577" i="1"/>
  <c r="K577" i="1"/>
  <c r="AR3" i="2" s="1"/>
  <c r="H577" i="1"/>
  <c r="AR103" i="2" s="1"/>
  <c r="W574" i="1"/>
  <c r="V574" i="1"/>
  <c r="T574" i="1"/>
  <c r="AQ100" i="2" s="1"/>
  <c r="S574" i="1"/>
  <c r="AQ86" i="2" s="1"/>
  <c r="Q574" i="1"/>
  <c r="AQ60" i="2" s="1"/>
  <c r="P574" i="1"/>
  <c r="AQ72" i="2" s="1"/>
  <c r="O574" i="1"/>
  <c r="AQ36" i="2" s="1"/>
  <c r="N574" i="1"/>
  <c r="AQ48" i="2" s="1"/>
  <c r="L574" i="1"/>
  <c r="K574" i="1"/>
  <c r="AQ12" i="2" s="1"/>
  <c r="H574" i="1"/>
  <c r="R574" i="1" s="1"/>
  <c r="W573" i="1"/>
  <c r="V573" i="1"/>
  <c r="T573" i="1"/>
  <c r="AQ99" i="2" s="1"/>
  <c r="S573" i="1"/>
  <c r="AQ85" i="2" s="1"/>
  <c r="Q573" i="1"/>
  <c r="AQ59" i="2" s="1"/>
  <c r="P573" i="1"/>
  <c r="AQ71" i="2" s="1"/>
  <c r="O573" i="1"/>
  <c r="AQ35" i="2" s="1"/>
  <c r="N573" i="1"/>
  <c r="AQ47" i="2" s="1"/>
  <c r="L573" i="1"/>
  <c r="H573" i="1"/>
  <c r="F174" i="2" s="1"/>
  <c r="W572" i="1"/>
  <c r="V572" i="1"/>
  <c r="T572" i="1"/>
  <c r="AQ98" i="2" s="1"/>
  <c r="S572" i="1"/>
  <c r="AQ84" i="2" s="1"/>
  <c r="Q572" i="1"/>
  <c r="AQ58" i="2" s="1"/>
  <c r="P572" i="1"/>
  <c r="AQ70" i="2" s="1"/>
  <c r="O572" i="1"/>
  <c r="AQ34" i="2" s="1"/>
  <c r="N572" i="1"/>
  <c r="AQ46" i="2" s="1"/>
  <c r="L572" i="1"/>
  <c r="K572" i="1"/>
  <c r="AQ10" i="2" s="1"/>
  <c r="H572" i="1"/>
  <c r="AQ112" i="2" s="1"/>
  <c r="W571" i="1"/>
  <c r="V571" i="1"/>
  <c r="T571" i="1"/>
  <c r="AQ97" i="2" s="1"/>
  <c r="S571" i="1"/>
  <c r="AQ83" i="2" s="1"/>
  <c r="Q571" i="1"/>
  <c r="P571" i="1"/>
  <c r="O571" i="1"/>
  <c r="N571" i="1"/>
  <c r="L571" i="1"/>
  <c r="K571" i="1"/>
  <c r="H571" i="1"/>
  <c r="AQ111" i="2" s="1"/>
  <c r="W570" i="1"/>
  <c r="V570" i="1"/>
  <c r="T570" i="1"/>
  <c r="AQ96" i="2" s="1"/>
  <c r="S570" i="1"/>
  <c r="AQ82" i="2" s="1"/>
  <c r="Q570" i="1"/>
  <c r="P570" i="1"/>
  <c r="O570" i="1"/>
  <c r="N570" i="1"/>
  <c r="L570" i="1"/>
  <c r="K570" i="1"/>
  <c r="H570" i="1"/>
  <c r="AQ110" i="2" s="1"/>
  <c r="W569" i="1"/>
  <c r="V569" i="1"/>
  <c r="T569" i="1"/>
  <c r="AQ95" i="2" s="1"/>
  <c r="S569" i="1"/>
  <c r="AQ81" i="2" s="1"/>
  <c r="Q569" i="1"/>
  <c r="P569" i="1"/>
  <c r="AQ69" i="2" s="1"/>
  <c r="O569" i="1"/>
  <c r="N569" i="1"/>
  <c r="L569" i="1"/>
  <c r="H569" i="1"/>
  <c r="AQ109" i="2" s="1"/>
  <c r="G569" i="1"/>
  <c r="AQ9" i="2" s="1"/>
  <c r="W568" i="1"/>
  <c r="V568" i="1"/>
  <c r="T568" i="1"/>
  <c r="AQ94" i="2" s="1"/>
  <c r="S568" i="1"/>
  <c r="AQ80" i="2" s="1"/>
  <c r="Q568" i="1"/>
  <c r="AQ56" i="2" s="1"/>
  <c r="P568" i="1"/>
  <c r="AQ68" i="2" s="1"/>
  <c r="O568" i="1"/>
  <c r="AQ32" i="2" s="1"/>
  <c r="N568" i="1"/>
  <c r="AQ44" i="2" s="1"/>
  <c r="L568" i="1"/>
  <c r="K568" i="1"/>
  <c r="AQ8" i="2" s="1"/>
  <c r="H568" i="1"/>
  <c r="AQ108" i="2" s="1"/>
  <c r="W567" i="1"/>
  <c r="V567" i="1"/>
  <c r="T567" i="1"/>
  <c r="AQ93" i="2" s="1"/>
  <c r="S567" i="1"/>
  <c r="AQ79" i="2" s="1"/>
  <c r="Q567" i="1"/>
  <c r="AQ55" i="2" s="1"/>
  <c r="P567" i="1"/>
  <c r="AQ67" i="2" s="1"/>
  <c r="O567" i="1"/>
  <c r="AQ31" i="2" s="1"/>
  <c r="N567" i="1"/>
  <c r="AQ43" i="2" s="1"/>
  <c r="L567" i="1"/>
  <c r="K567" i="1"/>
  <c r="AQ7" i="2" s="1"/>
  <c r="H567" i="1"/>
  <c r="AQ107" i="2" s="1"/>
  <c r="W566" i="1"/>
  <c r="V566" i="1"/>
  <c r="T566" i="1"/>
  <c r="AQ92" i="2" s="1"/>
  <c r="S566" i="1"/>
  <c r="AQ78" i="2" s="1"/>
  <c r="Q566" i="1"/>
  <c r="AQ54" i="2" s="1"/>
  <c r="P566" i="1"/>
  <c r="AQ66" i="2" s="1"/>
  <c r="O566" i="1"/>
  <c r="AQ30" i="2" s="1"/>
  <c r="N566" i="1"/>
  <c r="AQ42" i="2" s="1"/>
  <c r="L566" i="1"/>
  <c r="K566" i="1"/>
  <c r="AQ6" i="2" s="1"/>
  <c r="H566" i="1"/>
  <c r="AQ106" i="2" s="1"/>
  <c r="W565" i="1"/>
  <c r="V565" i="1"/>
  <c r="T565" i="1"/>
  <c r="AQ91" i="2" s="1"/>
  <c r="S565" i="1"/>
  <c r="AQ77" i="2" s="1"/>
  <c r="Q565" i="1"/>
  <c r="AQ53" i="2" s="1"/>
  <c r="P565" i="1"/>
  <c r="AQ65" i="2" s="1"/>
  <c r="O565" i="1"/>
  <c r="AQ29" i="2" s="1"/>
  <c r="N565" i="1"/>
  <c r="AQ41" i="2" s="1"/>
  <c r="L565" i="1"/>
  <c r="K565" i="1"/>
  <c r="AQ5" i="2" s="1"/>
  <c r="H565" i="1"/>
  <c r="W564" i="1"/>
  <c r="V564" i="1"/>
  <c r="T564" i="1"/>
  <c r="AQ90" i="2" s="1"/>
  <c r="S564" i="1"/>
  <c r="AQ76" i="2" s="1"/>
  <c r="Q564" i="1"/>
  <c r="AQ52" i="2" s="1"/>
  <c r="P564" i="1"/>
  <c r="AQ64" i="2" s="1"/>
  <c r="O564" i="1"/>
  <c r="AQ28" i="2" s="1"/>
  <c r="N564" i="1"/>
  <c r="AQ40" i="2" s="1"/>
  <c r="L564" i="1"/>
  <c r="K564" i="1"/>
  <c r="AQ4" i="2" s="1"/>
  <c r="H564" i="1"/>
  <c r="AQ104" i="2" s="1"/>
  <c r="W563" i="1"/>
  <c r="V563" i="1"/>
  <c r="T563" i="1"/>
  <c r="AQ89" i="2" s="1"/>
  <c r="S563" i="1"/>
  <c r="AQ75" i="2" s="1"/>
  <c r="Q563" i="1"/>
  <c r="AQ51" i="2" s="1"/>
  <c r="P563" i="1"/>
  <c r="AQ63" i="2" s="1"/>
  <c r="O563" i="1"/>
  <c r="AQ27" i="2" s="1"/>
  <c r="N563" i="1"/>
  <c r="AQ39" i="2" s="1"/>
  <c r="L563" i="1"/>
  <c r="K563" i="1"/>
  <c r="AQ3" i="2" s="1"/>
  <c r="H563" i="1"/>
  <c r="AQ103" i="2" s="1"/>
  <c r="W560" i="1"/>
  <c r="V560" i="1"/>
  <c r="T560" i="1"/>
  <c r="AP100" i="2" s="1"/>
  <c r="S560" i="1"/>
  <c r="AP86" i="2" s="1"/>
  <c r="Q560" i="1"/>
  <c r="AP60" i="2" s="1"/>
  <c r="P560" i="1"/>
  <c r="AP72" i="2" s="1"/>
  <c r="O560" i="1"/>
  <c r="AP36" i="2" s="1"/>
  <c r="N560" i="1"/>
  <c r="AP48" i="2" s="1"/>
  <c r="L560" i="1"/>
  <c r="K560" i="1"/>
  <c r="AP12" i="2" s="1"/>
  <c r="H560" i="1"/>
  <c r="R560" i="1" s="1"/>
  <c r="W559" i="1"/>
  <c r="V559" i="1"/>
  <c r="T559" i="1"/>
  <c r="AP99" i="2" s="1"/>
  <c r="S559" i="1"/>
  <c r="AP85" i="2" s="1"/>
  <c r="Q559" i="1"/>
  <c r="AP59" i="2" s="1"/>
  <c r="P559" i="1"/>
  <c r="AP71" i="2" s="1"/>
  <c r="O559" i="1"/>
  <c r="AP35" i="2" s="1"/>
  <c r="N559" i="1"/>
  <c r="AP47" i="2" s="1"/>
  <c r="L559" i="1"/>
  <c r="H559" i="1"/>
  <c r="F173" i="2" s="1"/>
  <c r="W558" i="1"/>
  <c r="V558" i="1"/>
  <c r="T558" i="1"/>
  <c r="AP98" i="2" s="1"/>
  <c r="S558" i="1"/>
  <c r="AP84" i="2" s="1"/>
  <c r="Q558" i="1"/>
  <c r="AP58" i="2" s="1"/>
  <c r="P558" i="1"/>
  <c r="AP70" i="2" s="1"/>
  <c r="O558" i="1"/>
  <c r="AP34" i="2" s="1"/>
  <c r="N558" i="1"/>
  <c r="AP46" i="2" s="1"/>
  <c r="L558" i="1"/>
  <c r="K558" i="1"/>
  <c r="AP10" i="2" s="1"/>
  <c r="H558" i="1"/>
  <c r="AP112" i="2" s="1"/>
  <c r="W557" i="1"/>
  <c r="V557" i="1"/>
  <c r="T557" i="1"/>
  <c r="AP97" i="2" s="1"/>
  <c r="S557" i="1"/>
  <c r="AP83" i="2" s="1"/>
  <c r="Q557" i="1"/>
  <c r="P557" i="1"/>
  <c r="O557" i="1"/>
  <c r="N557" i="1"/>
  <c r="L557" i="1"/>
  <c r="K557" i="1"/>
  <c r="H557" i="1"/>
  <c r="AP111" i="2" s="1"/>
  <c r="W556" i="1"/>
  <c r="V556" i="1"/>
  <c r="T556" i="1"/>
  <c r="AP96" i="2" s="1"/>
  <c r="S556" i="1"/>
  <c r="AP82" i="2" s="1"/>
  <c r="Q556" i="1"/>
  <c r="P556" i="1"/>
  <c r="O556" i="1"/>
  <c r="N556" i="1"/>
  <c r="L556" i="1"/>
  <c r="K556" i="1"/>
  <c r="H556" i="1"/>
  <c r="AP110" i="2" s="1"/>
  <c r="W555" i="1"/>
  <c r="V555" i="1"/>
  <c r="T555" i="1"/>
  <c r="AP95" i="2" s="1"/>
  <c r="S555" i="1"/>
  <c r="AP81" i="2" s="1"/>
  <c r="Q555" i="1"/>
  <c r="P555" i="1"/>
  <c r="AP69" i="2" s="1"/>
  <c r="O555" i="1"/>
  <c r="N555" i="1"/>
  <c r="L555" i="1"/>
  <c r="H555" i="1"/>
  <c r="AP109" i="2" s="1"/>
  <c r="G555" i="1"/>
  <c r="AP9" i="2" s="1"/>
  <c r="W554" i="1"/>
  <c r="V554" i="1"/>
  <c r="T554" i="1"/>
  <c r="AP94" i="2" s="1"/>
  <c r="S554" i="1"/>
  <c r="AP80" i="2" s="1"/>
  <c r="Q554" i="1"/>
  <c r="AP56" i="2" s="1"/>
  <c r="P554" i="1"/>
  <c r="AP68" i="2" s="1"/>
  <c r="O554" i="1"/>
  <c r="AP32" i="2" s="1"/>
  <c r="N554" i="1"/>
  <c r="AP44" i="2" s="1"/>
  <c r="L554" i="1"/>
  <c r="K554" i="1"/>
  <c r="AP8" i="2" s="1"/>
  <c r="H554" i="1"/>
  <c r="AP108" i="2" s="1"/>
  <c r="W553" i="1"/>
  <c r="V553" i="1"/>
  <c r="T553" i="1"/>
  <c r="AP93" i="2" s="1"/>
  <c r="S553" i="1"/>
  <c r="AP79" i="2" s="1"/>
  <c r="Q553" i="1"/>
  <c r="AP55" i="2" s="1"/>
  <c r="P553" i="1"/>
  <c r="AP67" i="2" s="1"/>
  <c r="O553" i="1"/>
  <c r="AP31" i="2" s="1"/>
  <c r="N553" i="1"/>
  <c r="AP43" i="2" s="1"/>
  <c r="L553" i="1"/>
  <c r="K553" i="1"/>
  <c r="AP7" i="2" s="1"/>
  <c r="H553" i="1"/>
  <c r="AP107" i="2" s="1"/>
  <c r="W552" i="1"/>
  <c r="V552" i="1"/>
  <c r="T552" i="1"/>
  <c r="AP92" i="2" s="1"/>
  <c r="S552" i="1"/>
  <c r="AP78" i="2" s="1"/>
  <c r="Q552" i="1"/>
  <c r="AP54" i="2" s="1"/>
  <c r="P552" i="1"/>
  <c r="AP66" i="2" s="1"/>
  <c r="O552" i="1"/>
  <c r="AP30" i="2" s="1"/>
  <c r="N552" i="1"/>
  <c r="AP42" i="2" s="1"/>
  <c r="L552" i="1"/>
  <c r="K552" i="1"/>
  <c r="AP6" i="2" s="1"/>
  <c r="H552" i="1"/>
  <c r="AP106" i="2" s="1"/>
  <c r="W551" i="1"/>
  <c r="V551" i="1"/>
  <c r="T551" i="1"/>
  <c r="AP91" i="2" s="1"/>
  <c r="S551" i="1"/>
  <c r="AP77" i="2" s="1"/>
  <c r="Q551" i="1"/>
  <c r="AP53" i="2" s="1"/>
  <c r="P551" i="1"/>
  <c r="AP65" i="2" s="1"/>
  <c r="O551" i="1"/>
  <c r="AP29" i="2" s="1"/>
  <c r="N551" i="1"/>
  <c r="AP41" i="2" s="1"/>
  <c r="L551" i="1"/>
  <c r="K551" i="1"/>
  <c r="AP5" i="2" s="1"/>
  <c r="H551" i="1"/>
  <c r="W550" i="1"/>
  <c r="V550" i="1"/>
  <c r="T550" i="1"/>
  <c r="AP90" i="2" s="1"/>
  <c r="S550" i="1"/>
  <c r="AP76" i="2" s="1"/>
  <c r="Q550" i="1"/>
  <c r="AP52" i="2" s="1"/>
  <c r="P550" i="1"/>
  <c r="AP64" i="2" s="1"/>
  <c r="O550" i="1"/>
  <c r="AP28" i="2" s="1"/>
  <c r="N550" i="1"/>
  <c r="AP40" i="2" s="1"/>
  <c r="L550" i="1"/>
  <c r="K550" i="1"/>
  <c r="AP4" i="2" s="1"/>
  <c r="H550" i="1"/>
  <c r="AP104" i="2" s="1"/>
  <c r="W549" i="1"/>
  <c r="V549" i="1"/>
  <c r="T549" i="1"/>
  <c r="AP89" i="2" s="1"/>
  <c r="S549" i="1"/>
  <c r="AP75" i="2" s="1"/>
  <c r="Q549" i="1"/>
  <c r="AP51" i="2" s="1"/>
  <c r="P549" i="1"/>
  <c r="AP63" i="2" s="1"/>
  <c r="O549" i="1"/>
  <c r="AP27" i="2" s="1"/>
  <c r="N549" i="1"/>
  <c r="AP39" i="2" s="1"/>
  <c r="L549" i="1"/>
  <c r="K549" i="1"/>
  <c r="AP3" i="2" s="1"/>
  <c r="H549" i="1"/>
  <c r="AP103" i="2" s="1"/>
  <c r="W546" i="1"/>
  <c r="V546" i="1"/>
  <c r="T546" i="1"/>
  <c r="AO100" i="2" s="1"/>
  <c r="S546" i="1"/>
  <c r="AO86" i="2" s="1"/>
  <c r="Q546" i="1"/>
  <c r="AO60" i="2" s="1"/>
  <c r="P546" i="1"/>
  <c r="AO72" i="2" s="1"/>
  <c r="O546" i="1"/>
  <c r="AO36" i="2" s="1"/>
  <c r="N546" i="1"/>
  <c r="AO48" i="2" s="1"/>
  <c r="L546" i="1"/>
  <c r="K546" i="1"/>
  <c r="AO12" i="2" s="1"/>
  <c r="H546" i="1"/>
  <c r="R546" i="1" s="1"/>
  <c r="W545" i="1"/>
  <c r="V545" i="1"/>
  <c r="T545" i="1"/>
  <c r="AO99" i="2" s="1"/>
  <c r="S545" i="1"/>
  <c r="AO85" i="2" s="1"/>
  <c r="Q545" i="1"/>
  <c r="AO59" i="2" s="1"/>
  <c r="P545" i="1"/>
  <c r="AO71" i="2" s="1"/>
  <c r="O545" i="1"/>
  <c r="AO35" i="2" s="1"/>
  <c r="N545" i="1"/>
  <c r="AO47" i="2" s="1"/>
  <c r="L545" i="1"/>
  <c r="H545" i="1"/>
  <c r="F172" i="2" s="1"/>
  <c r="W544" i="1"/>
  <c r="V544" i="1"/>
  <c r="T544" i="1"/>
  <c r="AO98" i="2" s="1"/>
  <c r="S544" i="1"/>
  <c r="AO84" i="2" s="1"/>
  <c r="Q544" i="1"/>
  <c r="AO58" i="2" s="1"/>
  <c r="P544" i="1"/>
  <c r="AO70" i="2" s="1"/>
  <c r="O544" i="1"/>
  <c r="AO34" i="2" s="1"/>
  <c r="N544" i="1"/>
  <c r="AO46" i="2" s="1"/>
  <c r="L544" i="1"/>
  <c r="K544" i="1"/>
  <c r="AO10" i="2" s="1"/>
  <c r="H544" i="1"/>
  <c r="AO112" i="2" s="1"/>
  <c r="W543" i="1"/>
  <c r="V543" i="1"/>
  <c r="T543" i="1"/>
  <c r="AO97" i="2" s="1"/>
  <c r="S543" i="1"/>
  <c r="AO83" i="2" s="1"/>
  <c r="Q543" i="1"/>
  <c r="P543" i="1"/>
  <c r="O543" i="1"/>
  <c r="N543" i="1"/>
  <c r="L543" i="1"/>
  <c r="K543" i="1"/>
  <c r="H543" i="1"/>
  <c r="AO111" i="2" s="1"/>
  <c r="W542" i="1"/>
  <c r="V542" i="1"/>
  <c r="T542" i="1"/>
  <c r="AO96" i="2" s="1"/>
  <c r="S542" i="1"/>
  <c r="AO82" i="2" s="1"/>
  <c r="Q542" i="1"/>
  <c r="P542" i="1"/>
  <c r="O542" i="1"/>
  <c r="N542" i="1"/>
  <c r="L542" i="1"/>
  <c r="K542" i="1"/>
  <c r="H542" i="1"/>
  <c r="AO110" i="2" s="1"/>
  <c r="W541" i="1"/>
  <c r="V541" i="1"/>
  <c r="T541" i="1"/>
  <c r="AO95" i="2" s="1"/>
  <c r="S541" i="1"/>
  <c r="AO81" i="2" s="1"/>
  <c r="Q541" i="1"/>
  <c r="P541" i="1"/>
  <c r="AO69" i="2" s="1"/>
  <c r="O541" i="1"/>
  <c r="N541" i="1"/>
  <c r="L541" i="1"/>
  <c r="H541" i="1"/>
  <c r="AO109" i="2" s="1"/>
  <c r="G541" i="1"/>
  <c r="AO9" i="2" s="1"/>
  <c r="W540" i="1"/>
  <c r="V540" i="1"/>
  <c r="T540" i="1"/>
  <c r="AO94" i="2" s="1"/>
  <c r="S540" i="1"/>
  <c r="AO80" i="2" s="1"/>
  <c r="Q540" i="1"/>
  <c r="AO56" i="2" s="1"/>
  <c r="P540" i="1"/>
  <c r="AO68" i="2" s="1"/>
  <c r="O540" i="1"/>
  <c r="AO32" i="2" s="1"/>
  <c r="N540" i="1"/>
  <c r="AO44" i="2" s="1"/>
  <c r="L540" i="1"/>
  <c r="K540" i="1"/>
  <c r="AO8" i="2" s="1"/>
  <c r="H540" i="1"/>
  <c r="AO108" i="2" s="1"/>
  <c r="W539" i="1"/>
  <c r="V539" i="1"/>
  <c r="T539" i="1"/>
  <c r="AO93" i="2" s="1"/>
  <c r="S539" i="1"/>
  <c r="AO79" i="2" s="1"/>
  <c r="Q539" i="1"/>
  <c r="AO55" i="2" s="1"/>
  <c r="P539" i="1"/>
  <c r="AO67" i="2" s="1"/>
  <c r="O539" i="1"/>
  <c r="AO31" i="2" s="1"/>
  <c r="N539" i="1"/>
  <c r="AO43" i="2" s="1"/>
  <c r="L539" i="1"/>
  <c r="K539" i="1"/>
  <c r="AO7" i="2" s="1"/>
  <c r="H539" i="1"/>
  <c r="AO107" i="2" s="1"/>
  <c r="W538" i="1"/>
  <c r="V538" i="1"/>
  <c r="T538" i="1"/>
  <c r="AO92" i="2" s="1"/>
  <c r="S538" i="1"/>
  <c r="AO78" i="2" s="1"/>
  <c r="Q538" i="1"/>
  <c r="AO54" i="2" s="1"/>
  <c r="P538" i="1"/>
  <c r="AO66" i="2" s="1"/>
  <c r="O538" i="1"/>
  <c r="AO30" i="2" s="1"/>
  <c r="N538" i="1"/>
  <c r="AO42" i="2" s="1"/>
  <c r="L538" i="1"/>
  <c r="K538" i="1"/>
  <c r="AO6" i="2" s="1"/>
  <c r="H538" i="1"/>
  <c r="AO106" i="2" s="1"/>
  <c r="W537" i="1"/>
  <c r="V537" i="1"/>
  <c r="T537" i="1"/>
  <c r="AO91" i="2" s="1"/>
  <c r="S537" i="1"/>
  <c r="AO77" i="2" s="1"/>
  <c r="Q537" i="1"/>
  <c r="AO53" i="2" s="1"/>
  <c r="P537" i="1"/>
  <c r="AO65" i="2" s="1"/>
  <c r="O537" i="1"/>
  <c r="AO29" i="2" s="1"/>
  <c r="N537" i="1"/>
  <c r="AO41" i="2" s="1"/>
  <c r="L537" i="1"/>
  <c r="K537" i="1"/>
  <c r="AO5" i="2" s="1"/>
  <c r="H537" i="1"/>
  <c r="W536" i="1"/>
  <c r="V536" i="1"/>
  <c r="T536" i="1"/>
  <c r="AO90" i="2" s="1"/>
  <c r="S536" i="1"/>
  <c r="AO76" i="2" s="1"/>
  <c r="Q536" i="1"/>
  <c r="AO52" i="2" s="1"/>
  <c r="P536" i="1"/>
  <c r="AO64" i="2" s="1"/>
  <c r="O536" i="1"/>
  <c r="AO28" i="2" s="1"/>
  <c r="N536" i="1"/>
  <c r="AO40" i="2" s="1"/>
  <c r="L536" i="1"/>
  <c r="K536" i="1"/>
  <c r="AO4" i="2" s="1"/>
  <c r="H536" i="1"/>
  <c r="AO104" i="2" s="1"/>
  <c r="W535" i="1"/>
  <c r="V535" i="1"/>
  <c r="T535" i="1"/>
  <c r="AO89" i="2" s="1"/>
  <c r="S535" i="1"/>
  <c r="AO75" i="2" s="1"/>
  <c r="Q535" i="1"/>
  <c r="AO51" i="2" s="1"/>
  <c r="P535" i="1"/>
  <c r="AO63" i="2" s="1"/>
  <c r="O535" i="1"/>
  <c r="AO27" i="2" s="1"/>
  <c r="N535" i="1"/>
  <c r="AO39" i="2" s="1"/>
  <c r="L535" i="1"/>
  <c r="K535" i="1"/>
  <c r="AO3" i="2" s="1"/>
  <c r="H535" i="1"/>
  <c r="AO103" i="2" s="1"/>
  <c r="W532" i="1"/>
  <c r="V532" i="1"/>
  <c r="T532" i="1"/>
  <c r="AN100" i="2" s="1"/>
  <c r="S532" i="1"/>
  <c r="AN86" i="2" s="1"/>
  <c r="Q532" i="1"/>
  <c r="AN60" i="2" s="1"/>
  <c r="P532" i="1"/>
  <c r="AN72" i="2" s="1"/>
  <c r="O532" i="1"/>
  <c r="AN36" i="2" s="1"/>
  <c r="N532" i="1"/>
  <c r="AN48" i="2" s="1"/>
  <c r="L532" i="1"/>
  <c r="K532" i="1"/>
  <c r="AN12" i="2" s="1"/>
  <c r="H532" i="1"/>
  <c r="W531" i="1"/>
  <c r="V531" i="1"/>
  <c r="T531" i="1"/>
  <c r="AN99" i="2" s="1"/>
  <c r="S531" i="1"/>
  <c r="AN85" i="2" s="1"/>
  <c r="Q531" i="1"/>
  <c r="AN59" i="2" s="1"/>
  <c r="P531" i="1"/>
  <c r="AN71" i="2" s="1"/>
  <c r="O531" i="1"/>
  <c r="AN35" i="2" s="1"/>
  <c r="N531" i="1"/>
  <c r="AN47" i="2" s="1"/>
  <c r="L531" i="1"/>
  <c r="H531" i="1"/>
  <c r="F170" i="2" s="1"/>
  <c r="F171" i="2" s="1"/>
  <c r="W530" i="1"/>
  <c r="V530" i="1"/>
  <c r="T530" i="1"/>
  <c r="AN98" i="2" s="1"/>
  <c r="S530" i="1"/>
  <c r="AN84" i="2" s="1"/>
  <c r="Q530" i="1"/>
  <c r="AN58" i="2" s="1"/>
  <c r="P530" i="1"/>
  <c r="AN70" i="2" s="1"/>
  <c r="O530" i="1"/>
  <c r="AN34" i="2" s="1"/>
  <c r="N530" i="1"/>
  <c r="AN46" i="2" s="1"/>
  <c r="L530" i="1"/>
  <c r="K530" i="1"/>
  <c r="AN10" i="2" s="1"/>
  <c r="H530" i="1"/>
  <c r="AN112" i="2" s="1"/>
  <c r="W529" i="1"/>
  <c r="V529" i="1"/>
  <c r="T529" i="1"/>
  <c r="AN97" i="2" s="1"/>
  <c r="S529" i="1"/>
  <c r="AN83" i="2" s="1"/>
  <c r="Q529" i="1"/>
  <c r="P529" i="1"/>
  <c r="O529" i="1"/>
  <c r="N529" i="1"/>
  <c r="L529" i="1"/>
  <c r="K529" i="1"/>
  <c r="H529" i="1"/>
  <c r="AN111" i="2" s="1"/>
  <c r="W528" i="1"/>
  <c r="V528" i="1"/>
  <c r="T528" i="1"/>
  <c r="AN96" i="2" s="1"/>
  <c r="S528" i="1"/>
  <c r="AN82" i="2" s="1"/>
  <c r="Q528" i="1"/>
  <c r="P528" i="1"/>
  <c r="O528" i="1"/>
  <c r="N528" i="1"/>
  <c r="L528" i="1"/>
  <c r="K528" i="1"/>
  <c r="H528" i="1"/>
  <c r="AN110" i="2" s="1"/>
  <c r="W527" i="1"/>
  <c r="V527" i="1"/>
  <c r="T527" i="1"/>
  <c r="AN95" i="2" s="1"/>
  <c r="S527" i="1"/>
  <c r="AN81" i="2" s="1"/>
  <c r="Q527" i="1"/>
  <c r="P527" i="1"/>
  <c r="AN69" i="2" s="1"/>
  <c r="O527" i="1"/>
  <c r="N527" i="1"/>
  <c r="L527" i="1"/>
  <c r="H527" i="1"/>
  <c r="G527" i="1"/>
  <c r="AN9" i="2" s="1"/>
  <c r="W526" i="1"/>
  <c r="V526" i="1"/>
  <c r="T526" i="1"/>
  <c r="AN94" i="2" s="1"/>
  <c r="S526" i="1"/>
  <c r="AN80" i="2" s="1"/>
  <c r="Q526" i="1"/>
  <c r="AN56" i="2" s="1"/>
  <c r="P526" i="1"/>
  <c r="AN68" i="2" s="1"/>
  <c r="O526" i="1"/>
  <c r="AN32" i="2" s="1"/>
  <c r="N526" i="1"/>
  <c r="AN44" i="2" s="1"/>
  <c r="L526" i="1"/>
  <c r="K526" i="1"/>
  <c r="AN8" i="2" s="1"/>
  <c r="H526" i="1"/>
  <c r="AN108" i="2" s="1"/>
  <c r="W525" i="1"/>
  <c r="V525" i="1"/>
  <c r="T525" i="1"/>
  <c r="AN93" i="2" s="1"/>
  <c r="S525" i="1"/>
  <c r="AN79" i="2" s="1"/>
  <c r="Q525" i="1"/>
  <c r="AN55" i="2" s="1"/>
  <c r="P525" i="1"/>
  <c r="AN67" i="2" s="1"/>
  <c r="O525" i="1"/>
  <c r="AN31" i="2" s="1"/>
  <c r="N525" i="1"/>
  <c r="AN43" i="2" s="1"/>
  <c r="L525" i="1"/>
  <c r="K525" i="1"/>
  <c r="AN7" i="2" s="1"/>
  <c r="H525" i="1"/>
  <c r="AN107" i="2" s="1"/>
  <c r="W524" i="1"/>
  <c r="V524" i="1"/>
  <c r="T524" i="1"/>
  <c r="AN92" i="2" s="1"/>
  <c r="S524" i="1"/>
  <c r="AN78" i="2" s="1"/>
  <c r="Q524" i="1"/>
  <c r="AN54" i="2" s="1"/>
  <c r="P524" i="1"/>
  <c r="AN66" i="2" s="1"/>
  <c r="O524" i="1"/>
  <c r="AN30" i="2" s="1"/>
  <c r="N524" i="1"/>
  <c r="AN42" i="2" s="1"/>
  <c r="L524" i="1"/>
  <c r="K524" i="1"/>
  <c r="AN6" i="2" s="1"/>
  <c r="H524" i="1"/>
  <c r="AN106" i="2" s="1"/>
  <c r="W523" i="1"/>
  <c r="V523" i="1"/>
  <c r="T523" i="1"/>
  <c r="AN91" i="2" s="1"/>
  <c r="S523" i="1"/>
  <c r="AN77" i="2" s="1"/>
  <c r="Q523" i="1"/>
  <c r="AN53" i="2" s="1"/>
  <c r="P523" i="1"/>
  <c r="AN65" i="2" s="1"/>
  <c r="O523" i="1"/>
  <c r="AN29" i="2" s="1"/>
  <c r="N523" i="1"/>
  <c r="AN41" i="2" s="1"/>
  <c r="L523" i="1"/>
  <c r="K523" i="1"/>
  <c r="AN5" i="2" s="1"/>
  <c r="H523" i="1"/>
  <c r="W522" i="1"/>
  <c r="V522" i="1"/>
  <c r="T522" i="1"/>
  <c r="AN90" i="2" s="1"/>
  <c r="S522" i="1"/>
  <c r="AN76" i="2" s="1"/>
  <c r="Q522" i="1"/>
  <c r="AN52" i="2" s="1"/>
  <c r="P522" i="1"/>
  <c r="AN64" i="2" s="1"/>
  <c r="O522" i="1"/>
  <c r="AN28" i="2" s="1"/>
  <c r="N522" i="1"/>
  <c r="AN40" i="2" s="1"/>
  <c r="L522" i="1"/>
  <c r="K522" i="1"/>
  <c r="AN4" i="2" s="1"/>
  <c r="H522" i="1"/>
  <c r="AN104" i="2" s="1"/>
  <c r="W521" i="1"/>
  <c r="V521" i="1"/>
  <c r="T521" i="1"/>
  <c r="AN89" i="2" s="1"/>
  <c r="S521" i="1"/>
  <c r="AN75" i="2" s="1"/>
  <c r="Q521" i="1"/>
  <c r="AN51" i="2" s="1"/>
  <c r="P521" i="1"/>
  <c r="AN63" i="2" s="1"/>
  <c r="O521" i="1"/>
  <c r="AN27" i="2" s="1"/>
  <c r="N521" i="1"/>
  <c r="AN39" i="2" s="1"/>
  <c r="L521" i="1"/>
  <c r="K521" i="1"/>
  <c r="AN3" i="2" s="1"/>
  <c r="H521" i="1"/>
  <c r="AN103" i="2" s="1"/>
  <c r="W518" i="1"/>
  <c r="V518" i="1"/>
  <c r="T518" i="1"/>
  <c r="AM100" i="2" s="1"/>
  <c r="S518" i="1"/>
  <c r="AM86" i="2" s="1"/>
  <c r="Q518" i="1"/>
  <c r="AM60" i="2" s="1"/>
  <c r="P518" i="1"/>
  <c r="AM72" i="2" s="1"/>
  <c r="O518" i="1"/>
  <c r="AM36" i="2" s="1"/>
  <c r="N518" i="1"/>
  <c r="AM48" i="2" s="1"/>
  <c r="L518" i="1"/>
  <c r="K518" i="1"/>
  <c r="AM12" i="2" s="1"/>
  <c r="H518" i="1"/>
  <c r="R518" i="1" s="1"/>
  <c r="W517" i="1"/>
  <c r="V517" i="1"/>
  <c r="T517" i="1"/>
  <c r="AM99" i="2" s="1"/>
  <c r="S517" i="1"/>
  <c r="AM85" i="2" s="1"/>
  <c r="Q517" i="1"/>
  <c r="AM59" i="2" s="1"/>
  <c r="P517" i="1"/>
  <c r="AM71" i="2" s="1"/>
  <c r="O517" i="1"/>
  <c r="AM35" i="2" s="1"/>
  <c r="N517" i="1"/>
  <c r="AM47" i="2" s="1"/>
  <c r="L517" i="1"/>
  <c r="H517" i="1"/>
  <c r="F169" i="2" s="1"/>
  <c r="W516" i="1"/>
  <c r="V516" i="1"/>
  <c r="T516" i="1"/>
  <c r="AM98" i="2" s="1"/>
  <c r="S516" i="1"/>
  <c r="AM84" i="2" s="1"/>
  <c r="Q516" i="1"/>
  <c r="AM58" i="2" s="1"/>
  <c r="P516" i="1"/>
  <c r="AM70" i="2" s="1"/>
  <c r="O516" i="1"/>
  <c r="AM34" i="2" s="1"/>
  <c r="N516" i="1"/>
  <c r="AM46" i="2" s="1"/>
  <c r="L516" i="1"/>
  <c r="K516" i="1"/>
  <c r="AM10" i="2" s="1"/>
  <c r="H516" i="1"/>
  <c r="AM112" i="2" s="1"/>
  <c r="W515" i="1"/>
  <c r="V515" i="1"/>
  <c r="T515" i="1"/>
  <c r="AM97" i="2" s="1"/>
  <c r="S515" i="1"/>
  <c r="AM83" i="2" s="1"/>
  <c r="Q515" i="1"/>
  <c r="P515" i="1"/>
  <c r="O515" i="1"/>
  <c r="N515" i="1"/>
  <c r="L515" i="1"/>
  <c r="K515" i="1"/>
  <c r="H515" i="1"/>
  <c r="AM111" i="2" s="1"/>
  <c r="W514" i="1"/>
  <c r="V514" i="1"/>
  <c r="T514" i="1"/>
  <c r="AM96" i="2" s="1"/>
  <c r="S514" i="1"/>
  <c r="AM82" i="2" s="1"/>
  <c r="Q514" i="1"/>
  <c r="P514" i="1"/>
  <c r="O514" i="1"/>
  <c r="N514" i="1"/>
  <c r="L514" i="1"/>
  <c r="K514" i="1"/>
  <c r="H514" i="1"/>
  <c r="AM110" i="2" s="1"/>
  <c r="W513" i="1"/>
  <c r="V513" i="1"/>
  <c r="T513" i="1"/>
  <c r="AM95" i="2" s="1"/>
  <c r="S513" i="1"/>
  <c r="AM81" i="2" s="1"/>
  <c r="Q513" i="1"/>
  <c r="P513" i="1"/>
  <c r="AM69" i="2" s="1"/>
  <c r="O513" i="1"/>
  <c r="N513" i="1"/>
  <c r="L513" i="1"/>
  <c r="H513" i="1"/>
  <c r="G513" i="1"/>
  <c r="AM9" i="2" s="1"/>
  <c r="W512" i="1"/>
  <c r="V512" i="1"/>
  <c r="T512" i="1"/>
  <c r="AM94" i="2" s="1"/>
  <c r="S512" i="1"/>
  <c r="AM80" i="2" s="1"/>
  <c r="Q512" i="1"/>
  <c r="AM56" i="2" s="1"/>
  <c r="P512" i="1"/>
  <c r="O512" i="1"/>
  <c r="AM32" i="2" s="1"/>
  <c r="N512" i="1"/>
  <c r="AM44" i="2" s="1"/>
  <c r="L512" i="1"/>
  <c r="K512" i="1"/>
  <c r="AM8" i="2" s="1"/>
  <c r="H512" i="1"/>
  <c r="AM108" i="2" s="1"/>
  <c r="W511" i="1"/>
  <c r="V511" i="1"/>
  <c r="T511" i="1"/>
  <c r="AM93" i="2" s="1"/>
  <c r="S511" i="1"/>
  <c r="AM79" i="2" s="1"/>
  <c r="Q511" i="1"/>
  <c r="AM55" i="2" s="1"/>
  <c r="P511" i="1"/>
  <c r="O511" i="1"/>
  <c r="AM31" i="2" s="1"/>
  <c r="N511" i="1"/>
  <c r="AM43" i="2" s="1"/>
  <c r="L511" i="1"/>
  <c r="K511" i="1"/>
  <c r="AM7" i="2" s="1"/>
  <c r="H511" i="1"/>
  <c r="AM107" i="2" s="1"/>
  <c r="W510" i="1"/>
  <c r="V510" i="1"/>
  <c r="T510" i="1"/>
  <c r="AM92" i="2" s="1"/>
  <c r="S510" i="1"/>
  <c r="AM78" i="2" s="1"/>
  <c r="Q510" i="1"/>
  <c r="AM54" i="2" s="1"/>
  <c r="P510" i="1"/>
  <c r="O510" i="1"/>
  <c r="AM30" i="2" s="1"/>
  <c r="N510" i="1"/>
  <c r="AM42" i="2" s="1"/>
  <c r="L510" i="1"/>
  <c r="H510" i="1"/>
  <c r="AM106" i="2" s="1"/>
  <c r="G510" i="1"/>
  <c r="G517" i="1" s="1"/>
  <c r="W509" i="1"/>
  <c r="V509" i="1"/>
  <c r="T509" i="1"/>
  <c r="AM91" i="2" s="1"/>
  <c r="S509" i="1"/>
  <c r="AM77" i="2" s="1"/>
  <c r="Q509" i="1"/>
  <c r="AM53" i="2" s="1"/>
  <c r="P509" i="1"/>
  <c r="O509" i="1"/>
  <c r="AM29" i="2" s="1"/>
  <c r="N509" i="1"/>
  <c r="AM41" i="2" s="1"/>
  <c r="L509" i="1"/>
  <c r="K509" i="1"/>
  <c r="AM5" i="2" s="1"/>
  <c r="H509" i="1"/>
  <c r="W508" i="1"/>
  <c r="V508" i="1"/>
  <c r="T508" i="1"/>
  <c r="AM90" i="2" s="1"/>
  <c r="S508" i="1"/>
  <c r="AM76" i="2" s="1"/>
  <c r="Q508" i="1"/>
  <c r="AM52" i="2" s="1"/>
  <c r="P508" i="1"/>
  <c r="O508" i="1"/>
  <c r="AM28" i="2" s="1"/>
  <c r="N508" i="1"/>
  <c r="AM40" i="2" s="1"/>
  <c r="L508" i="1"/>
  <c r="K508" i="1"/>
  <c r="AM4" i="2" s="1"/>
  <c r="H508" i="1"/>
  <c r="AM104" i="2" s="1"/>
  <c r="W507" i="1"/>
  <c r="V507" i="1"/>
  <c r="T507" i="1"/>
  <c r="AM89" i="2" s="1"/>
  <c r="S507" i="1"/>
  <c r="AM75" i="2" s="1"/>
  <c r="Q507" i="1"/>
  <c r="AM51" i="2" s="1"/>
  <c r="P507" i="1"/>
  <c r="AM63" i="2" s="1"/>
  <c r="O507" i="1"/>
  <c r="AM27" i="2" s="1"/>
  <c r="N507" i="1"/>
  <c r="AM39" i="2" s="1"/>
  <c r="L507" i="1"/>
  <c r="K507" i="1"/>
  <c r="AM3" i="2" s="1"/>
  <c r="H507" i="1"/>
  <c r="AM103" i="2" s="1"/>
  <c r="W504" i="1"/>
  <c r="V504" i="1"/>
  <c r="T504" i="1"/>
  <c r="AL100" i="2" s="1"/>
  <c r="S504" i="1"/>
  <c r="AL86" i="2" s="1"/>
  <c r="Q504" i="1"/>
  <c r="AL60" i="2" s="1"/>
  <c r="P504" i="1"/>
  <c r="AL72" i="2" s="1"/>
  <c r="O504" i="1"/>
  <c r="AL36" i="2" s="1"/>
  <c r="N504" i="1"/>
  <c r="AL48" i="2" s="1"/>
  <c r="L504" i="1"/>
  <c r="K504" i="1"/>
  <c r="AL12" i="2" s="1"/>
  <c r="H504" i="1"/>
  <c r="R504" i="1" s="1"/>
  <c r="W503" i="1"/>
  <c r="V503" i="1"/>
  <c r="T503" i="1"/>
  <c r="AL99" i="2" s="1"/>
  <c r="S503" i="1"/>
  <c r="AL85" i="2" s="1"/>
  <c r="Q503" i="1"/>
  <c r="AL59" i="2" s="1"/>
  <c r="P503" i="1"/>
  <c r="AL71" i="2" s="1"/>
  <c r="O503" i="1"/>
  <c r="AL35" i="2" s="1"/>
  <c r="N503" i="1"/>
  <c r="AL47" i="2" s="1"/>
  <c r="L503" i="1"/>
  <c r="H503" i="1"/>
  <c r="F168" i="2" s="1"/>
  <c r="W502" i="1"/>
  <c r="V502" i="1"/>
  <c r="T502" i="1"/>
  <c r="AL98" i="2" s="1"/>
  <c r="S502" i="1"/>
  <c r="AL84" i="2" s="1"/>
  <c r="Q502" i="1"/>
  <c r="AL58" i="2" s="1"/>
  <c r="P502" i="1"/>
  <c r="AL70" i="2" s="1"/>
  <c r="O502" i="1"/>
  <c r="AL34" i="2" s="1"/>
  <c r="N502" i="1"/>
  <c r="AL46" i="2" s="1"/>
  <c r="L502" i="1"/>
  <c r="K502" i="1"/>
  <c r="AL10" i="2" s="1"/>
  <c r="H502" i="1"/>
  <c r="AL112" i="2" s="1"/>
  <c r="W501" i="1"/>
  <c r="V501" i="1"/>
  <c r="T501" i="1"/>
  <c r="AL97" i="2" s="1"/>
  <c r="S501" i="1"/>
  <c r="AL83" i="2" s="1"/>
  <c r="Q501" i="1"/>
  <c r="P501" i="1"/>
  <c r="O501" i="1"/>
  <c r="N501" i="1"/>
  <c r="L501" i="1"/>
  <c r="K501" i="1"/>
  <c r="H501" i="1"/>
  <c r="AL111" i="2" s="1"/>
  <c r="W500" i="1"/>
  <c r="V500" i="1"/>
  <c r="T500" i="1"/>
  <c r="AL96" i="2" s="1"/>
  <c r="S500" i="1"/>
  <c r="AL82" i="2" s="1"/>
  <c r="Q500" i="1"/>
  <c r="P500" i="1"/>
  <c r="O500" i="1"/>
  <c r="N500" i="1"/>
  <c r="L500" i="1"/>
  <c r="K500" i="1"/>
  <c r="H500" i="1"/>
  <c r="AL110" i="2" s="1"/>
  <c r="W499" i="1"/>
  <c r="V499" i="1"/>
  <c r="T499" i="1"/>
  <c r="AL95" i="2" s="1"/>
  <c r="S499" i="1"/>
  <c r="AL81" i="2" s="1"/>
  <c r="Q499" i="1"/>
  <c r="P499" i="1"/>
  <c r="AL69" i="2" s="1"/>
  <c r="O499" i="1"/>
  <c r="N499" i="1"/>
  <c r="L499" i="1"/>
  <c r="H499" i="1"/>
  <c r="G499" i="1"/>
  <c r="AL9" i="2" s="1"/>
  <c r="W498" i="1"/>
  <c r="V498" i="1"/>
  <c r="T498" i="1"/>
  <c r="AL94" i="2" s="1"/>
  <c r="S498" i="1"/>
  <c r="AL80" i="2" s="1"/>
  <c r="Q498" i="1"/>
  <c r="AL56" i="2" s="1"/>
  <c r="P498" i="1"/>
  <c r="AL68" i="2" s="1"/>
  <c r="O498" i="1"/>
  <c r="AL32" i="2" s="1"/>
  <c r="N498" i="1"/>
  <c r="AL44" i="2" s="1"/>
  <c r="L498" i="1"/>
  <c r="K498" i="1"/>
  <c r="AL8" i="2" s="1"/>
  <c r="H498" i="1"/>
  <c r="AL108" i="2" s="1"/>
  <c r="W497" i="1"/>
  <c r="V497" i="1"/>
  <c r="T497" i="1"/>
  <c r="AL93" i="2" s="1"/>
  <c r="S497" i="1"/>
  <c r="AL79" i="2" s="1"/>
  <c r="Q497" i="1"/>
  <c r="AL55" i="2" s="1"/>
  <c r="P497" i="1"/>
  <c r="AL67" i="2" s="1"/>
  <c r="O497" i="1"/>
  <c r="AL31" i="2" s="1"/>
  <c r="N497" i="1"/>
  <c r="AL43" i="2" s="1"/>
  <c r="L497" i="1"/>
  <c r="K497" i="1"/>
  <c r="AL7" i="2" s="1"/>
  <c r="H497" i="1"/>
  <c r="AL107" i="2" s="1"/>
  <c r="W496" i="1"/>
  <c r="V496" i="1"/>
  <c r="T496" i="1"/>
  <c r="AL92" i="2" s="1"/>
  <c r="S496" i="1"/>
  <c r="AL78" i="2" s="1"/>
  <c r="Q496" i="1"/>
  <c r="AL54" i="2" s="1"/>
  <c r="P496" i="1"/>
  <c r="AL66" i="2" s="1"/>
  <c r="O496" i="1"/>
  <c r="AL30" i="2" s="1"/>
  <c r="N496" i="1"/>
  <c r="AL42" i="2" s="1"/>
  <c r="L496" i="1"/>
  <c r="K496" i="1"/>
  <c r="AL6" i="2" s="1"/>
  <c r="H496" i="1"/>
  <c r="AL106" i="2" s="1"/>
  <c r="W495" i="1"/>
  <c r="V495" i="1"/>
  <c r="T495" i="1"/>
  <c r="AL91" i="2" s="1"/>
  <c r="S495" i="1"/>
  <c r="AL77" i="2" s="1"/>
  <c r="Q495" i="1"/>
  <c r="AL53" i="2" s="1"/>
  <c r="P495" i="1"/>
  <c r="AL65" i="2" s="1"/>
  <c r="O495" i="1"/>
  <c r="AL29" i="2" s="1"/>
  <c r="N495" i="1"/>
  <c r="AL41" i="2" s="1"/>
  <c r="L495" i="1"/>
  <c r="K495" i="1"/>
  <c r="AL5" i="2" s="1"/>
  <c r="H495" i="1"/>
  <c r="W494" i="1"/>
  <c r="V494" i="1"/>
  <c r="T494" i="1"/>
  <c r="AL90" i="2" s="1"/>
  <c r="S494" i="1"/>
  <c r="AL76" i="2" s="1"/>
  <c r="Q494" i="1"/>
  <c r="AL52" i="2" s="1"/>
  <c r="P494" i="1"/>
  <c r="AL64" i="2" s="1"/>
  <c r="O494" i="1"/>
  <c r="AL28" i="2" s="1"/>
  <c r="N494" i="1"/>
  <c r="AL40" i="2" s="1"/>
  <c r="L494" i="1"/>
  <c r="K494" i="1"/>
  <c r="AL4" i="2" s="1"/>
  <c r="H494" i="1"/>
  <c r="AL104" i="2" s="1"/>
  <c r="W493" i="1"/>
  <c r="V493" i="1"/>
  <c r="T493" i="1"/>
  <c r="AL89" i="2" s="1"/>
  <c r="S493" i="1"/>
  <c r="AL75" i="2" s="1"/>
  <c r="Q493" i="1"/>
  <c r="AL51" i="2" s="1"/>
  <c r="P493" i="1"/>
  <c r="AL63" i="2" s="1"/>
  <c r="O493" i="1"/>
  <c r="AL27" i="2" s="1"/>
  <c r="N493" i="1"/>
  <c r="AL39" i="2" s="1"/>
  <c r="L493" i="1"/>
  <c r="K493" i="1"/>
  <c r="AL3" i="2" s="1"/>
  <c r="H493" i="1"/>
  <c r="AL103" i="2" s="1"/>
  <c r="W490" i="1"/>
  <c r="V490" i="1"/>
  <c r="T490" i="1"/>
  <c r="AK100" i="2" s="1"/>
  <c r="S490" i="1"/>
  <c r="AK86" i="2" s="1"/>
  <c r="Q490" i="1"/>
  <c r="AK60" i="2" s="1"/>
  <c r="P490" i="1"/>
  <c r="AK72" i="2" s="1"/>
  <c r="O490" i="1"/>
  <c r="AK36" i="2" s="1"/>
  <c r="N490" i="1"/>
  <c r="AK48" i="2" s="1"/>
  <c r="L490" i="1"/>
  <c r="K490" i="1"/>
  <c r="AK12" i="2" s="1"/>
  <c r="H490" i="1"/>
  <c r="R490" i="1" s="1"/>
  <c r="W489" i="1"/>
  <c r="V489" i="1"/>
  <c r="T489" i="1"/>
  <c r="AK99" i="2" s="1"/>
  <c r="S489" i="1"/>
  <c r="AK85" i="2" s="1"/>
  <c r="Q489" i="1"/>
  <c r="AK59" i="2" s="1"/>
  <c r="P489" i="1"/>
  <c r="AK71" i="2" s="1"/>
  <c r="O489" i="1"/>
  <c r="AK35" i="2" s="1"/>
  <c r="N489" i="1"/>
  <c r="AK47" i="2" s="1"/>
  <c r="L489" i="1"/>
  <c r="H489" i="1"/>
  <c r="F167" i="2" s="1"/>
  <c r="W488" i="1"/>
  <c r="V488" i="1"/>
  <c r="T488" i="1"/>
  <c r="AK98" i="2" s="1"/>
  <c r="S488" i="1"/>
  <c r="AK84" i="2" s="1"/>
  <c r="Q488" i="1"/>
  <c r="AK58" i="2" s="1"/>
  <c r="P488" i="1"/>
  <c r="AK70" i="2" s="1"/>
  <c r="O488" i="1"/>
  <c r="AK34" i="2" s="1"/>
  <c r="N488" i="1"/>
  <c r="AK46" i="2" s="1"/>
  <c r="L488" i="1"/>
  <c r="K488" i="1"/>
  <c r="AK10" i="2" s="1"/>
  <c r="H488" i="1"/>
  <c r="AK112" i="2" s="1"/>
  <c r="W487" i="1"/>
  <c r="V487" i="1"/>
  <c r="T487" i="1"/>
  <c r="AK97" i="2" s="1"/>
  <c r="S487" i="1"/>
  <c r="AK83" i="2" s="1"/>
  <c r="Q487" i="1"/>
  <c r="P487" i="1"/>
  <c r="O487" i="1"/>
  <c r="N487" i="1"/>
  <c r="L487" i="1"/>
  <c r="K487" i="1"/>
  <c r="H487" i="1"/>
  <c r="AK111" i="2" s="1"/>
  <c r="W486" i="1"/>
  <c r="V486" i="1"/>
  <c r="T486" i="1"/>
  <c r="AK96" i="2" s="1"/>
  <c r="S486" i="1"/>
  <c r="AK82" i="2" s="1"/>
  <c r="Q486" i="1"/>
  <c r="P486" i="1"/>
  <c r="O486" i="1"/>
  <c r="N486" i="1"/>
  <c r="L486" i="1"/>
  <c r="K486" i="1"/>
  <c r="H486" i="1"/>
  <c r="AK110" i="2" s="1"/>
  <c r="W485" i="1"/>
  <c r="V485" i="1"/>
  <c r="T485" i="1"/>
  <c r="AK95" i="2" s="1"/>
  <c r="S485" i="1"/>
  <c r="AK81" i="2" s="1"/>
  <c r="Q485" i="1"/>
  <c r="P485" i="1"/>
  <c r="AK69" i="2" s="1"/>
  <c r="O485" i="1"/>
  <c r="N485" i="1"/>
  <c r="L485" i="1"/>
  <c r="H485" i="1"/>
  <c r="G485" i="1"/>
  <c r="AK9" i="2" s="1"/>
  <c r="W484" i="1"/>
  <c r="V484" i="1"/>
  <c r="T484" i="1"/>
  <c r="AK94" i="2" s="1"/>
  <c r="S484" i="1"/>
  <c r="AK80" i="2" s="1"/>
  <c r="Q484" i="1"/>
  <c r="AK56" i="2" s="1"/>
  <c r="P484" i="1"/>
  <c r="AK68" i="2" s="1"/>
  <c r="O484" i="1"/>
  <c r="AK32" i="2" s="1"/>
  <c r="N484" i="1"/>
  <c r="AK44" i="2" s="1"/>
  <c r="L484" i="1"/>
  <c r="K484" i="1"/>
  <c r="AK8" i="2" s="1"/>
  <c r="H484" i="1"/>
  <c r="AK108" i="2" s="1"/>
  <c r="W483" i="1"/>
  <c r="V483" i="1"/>
  <c r="T483" i="1"/>
  <c r="AK93" i="2" s="1"/>
  <c r="S483" i="1"/>
  <c r="AK79" i="2" s="1"/>
  <c r="Q483" i="1"/>
  <c r="AK55" i="2" s="1"/>
  <c r="P483" i="1"/>
  <c r="AK67" i="2" s="1"/>
  <c r="O483" i="1"/>
  <c r="AK31" i="2" s="1"/>
  <c r="N483" i="1"/>
  <c r="AK43" i="2" s="1"/>
  <c r="L483" i="1"/>
  <c r="K483" i="1"/>
  <c r="AK7" i="2" s="1"/>
  <c r="H483" i="1"/>
  <c r="AK107" i="2" s="1"/>
  <c r="W482" i="1"/>
  <c r="V482" i="1"/>
  <c r="T482" i="1"/>
  <c r="AK92" i="2" s="1"/>
  <c r="S482" i="1"/>
  <c r="AK78" i="2" s="1"/>
  <c r="Q482" i="1"/>
  <c r="AK54" i="2" s="1"/>
  <c r="P482" i="1"/>
  <c r="AK66" i="2" s="1"/>
  <c r="O482" i="1"/>
  <c r="AK30" i="2" s="1"/>
  <c r="N482" i="1"/>
  <c r="AK42" i="2" s="1"/>
  <c r="L482" i="1"/>
  <c r="K482" i="1"/>
  <c r="AK6" i="2" s="1"/>
  <c r="H482" i="1"/>
  <c r="AK106" i="2" s="1"/>
  <c r="W481" i="1"/>
  <c r="V481" i="1"/>
  <c r="T481" i="1"/>
  <c r="AK91" i="2" s="1"/>
  <c r="S481" i="1"/>
  <c r="AK77" i="2" s="1"/>
  <c r="Q481" i="1"/>
  <c r="AK53" i="2" s="1"/>
  <c r="P481" i="1"/>
  <c r="AK65" i="2" s="1"/>
  <c r="O481" i="1"/>
  <c r="AK29" i="2" s="1"/>
  <c r="N481" i="1"/>
  <c r="AK41" i="2" s="1"/>
  <c r="L481" i="1"/>
  <c r="K481" i="1"/>
  <c r="AK5" i="2" s="1"/>
  <c r="H481" i="1"/>
  <c r="W480" i="1"/>
  <c r="V480" i="1"/>
  <c r="T480" i="1"/>
  <c r="AK90" i="2" s="1"/>
  <c r="S480" i="1"/>
  <c r="AK76" i="2" s="1"/>
  <c r="Q480" i="1"/>
  <c r="AK52" i="2" s="1"/>
  <c r="P480" i="1"/>
  <c r="AK64" i="2" s="1"/>
  <c r="O480" i="1"/>
  <c r="AK28" i="2" s="1"/>
  <c r="N480" i="1"/>
  <c r="AK40" i="2" s="1"/>
  <c r="L480" i="1"/>
  <c r="K480" i="1"/>
  <c r="AK4" i="2" s="1"/>
  <c r="H480" i="1"/>
  <c r="AK104" i="2" s="1"/>
  <c r="W479" i="1"/>
  <c r="V479" i="1"/>
  <c r="T479" i="1"/>
  <c r="AK89" i="2" s="1"/>
  <c r="S479" i="1"/>
  <c r="AK75" i="2" s="1"/>
  <c r="Q479" i="1"/>
  <c r="AK51" i="2" s="1"/>
  <c r="P479" i="1"/>
  <c r="AK63" i="2" s="1"/>
  <c r="O479" i="1"/>
  <c r="AK27" i="2" s="1"/>
  <c r="N479" i="1"/>
  <c r="AK39" i="2" s="1"/>
  <c r="L479" i="1"/>
  <c r="K479" i="1"/>
  <c r="AK3" i="2" s="1"/>
  <c r="H479" i="1"/>
  <c r="AK103" i="2" s="1"/>
  <c r="W476" i="1"/>
  <c r="V476" i="1"/>
  <c r="T476" i="1"/>
  <c r="AJ100" i="2" s="1"/>
  <c r="S476" i="1"/>
  <c r="AJ86" i="2" s="1"/>
  <c r="Q476" i="1"/>
  <c r="AJ60" i="2" s="1"/>
  <c r="P476" i="1"/>
  <c r="AJ72" i="2" s="1"/>
  <c r="O476" i="1"/>
  <c r="AJ36" i="2" s="1"/>
  <c r="N476" i="1"/>
  <c r="AJ48" i="2" s="1"/>
  <c r="L476" i="1"/>
  <c r="K476" i="1"/>
  <c r="AJ12" i="2" s="1"/>
  <c r="H476" i="1"/>
  <c r="R476" i="1" s="1"/>
  <c r="W475" i="1"/>
  <c r="V475" i="1"/>
  <c r="T475" i="1"/>
  <c r="AJ99" i="2" s="1"/>
  <c r="S475" i="1"/>
  <c r="AJ85" i="2" s="1"/>
  <c r="Q475" i="1"/>
  <c r="AJ59" i="2" s="1"/>
  <c r="P475" i="1"/>
  <c r="AJ71" i="2" s="1"/>
  <c r="O475" i="1"/>
  <c r="AJ35" i="2" s="1"/>
  <c r="N475" i="1"/>
  <c r="AJ47" i="2" s="1"/>
  <c r="L475" i="1"/>
  <c r="H475" i="1"/>
  <c r="F166" i="2" s="1"/>
  <c r="W474" i="1"/>
  <c r="V474" i="1"/>
  <c r="T474" i="1"/>
  <c r="AJ98" i="2" s="1"/>
  <c r="S474" i="1"/>
  <c r="AJ84" i="2" s="1"/>
  <c r="Q474" i="1"/>
  <c r="AJ58" i="2" s="1"/>
  <c r="P474" i="1"/>
  <c r="AJ70" i="2" s="1"/>
  <c r="O474" i="1"/>
  <c r="AJ34" i="2" s="1"/>
  <c r="N474" i="1"/>
  <c r="AJ46" i="2" s="1"/>
  <c r="L474" i="1"/>
  <c r="K474" i="1"/>
  <c r="AJ10" i="2" s="1"/>
  <c r="H474" i="1"/>
  <c r="AJ112" i="2" s="1"/>
  <c r="W473" i="1"/>
  <c r="V473" i="1"/>
  <c r="T473" i="1"/>
  <c r="AJ97" i="2" s="1"/>
  <c r="S473" i="1"/>
  <c r="AJ83" i="2" s="1"/>
  <c r="Q473" i="1"/>
  <c r="P473" i="1"/>
  <c r="O473" i="1"/>
  <c r="N473" i="1"/>
  <c r="L473" i="1"/>
  <c r="K473" i="1"/>
  <c r="H473" i="1"/>
  <c r="AJ111" i="2" s="1"/>
  <c r="W472" i="1"/>
  <c r="V472" i="1"/>
  <c r="T472" i="1"/>
  <c r="AJ96" i="2" s="1"/>
  <c r="S472" i="1"/>
  <c r="AJ82" i="2" s="1"/>
  <c r="Q472" i="1"/>
  <c r="P472" i="1"/>
  <c r="O472" i="1"/>
  <c r="N472" i="1"/>
  <c r="L472" i="1"/>
  <c r="K472" i="1"/>
  <c r="H472" i="1"/>
  <c r="AJ110" i="2" s="1"/>
  <c r="W471" i="1"/>
  <c r="V471" i="1"/>
  <c r="T471" i="1"/>
  <c r="AJ95" i="2" s="1"/>
  <c r="S471" i="1"/>
  <c r="AJ81" i="2" s="1"/>
  <c r="Q471" i="1"/>
  <c r="P471" i="1"/>
  <c r="AJ69" i="2" s="1"/>
  <c r="O471" i="1"/>
  <c r="N471" i="1"/>
  <c r="L471" i="1"/>
  <c r="H471" i="1"/>
  <c r="G471" i="1"/>
  <c r="AJ9" i="2" s="1"/>
  <c r="W470" i="1"/>
  <c r="V470" i="1"/>
  <c r="T470" i="1"/>
  <c r="AJ94" i="2" s="1"/>
  <c r="S470" i="1"/>
  <c r="AJ80" i="2" s="1"/>
  <c r="Q470" i="1"/>
  <c r="AJ56" i="2" s="1"/>
  <c r="P470" i="1"/>
  <c r="O470" i="1"/>
  <c r="AJ32" i="2" s="1"/>
  <c r="N470" i="1"/>
  <c r="AJ44" i="2" s="1"/>
  <c r="L470" i="1"/>
  <c r="K470" i="1"/>
  <c r="AJ8" i="2" s="1"/>
  <c r="H470" i="1"/>
  <c r="AJ108" i="2" s="1"/>
  <c r="W469" i="1"/>
  <c r="V469" i="1"/>
  <c r="T469" i="1"/>
  <c r="AJ93" i="2" s="1"/>
  <c r="S469" i="1"/>
  <c r="AJ79" i="2" s="1"/>
  <c r="Q469" i="1"/>
  <c r="AJ55" i="2" s="1"/>
  <c r="P469" i="1"/>
  <c r="O469" i="1"/>
  <c r="AJ31" i="2" s="1"/>
  <c r="N469" i="1"/>
  <c r="AJ43" i="2" s="1"/>
  <c r="L469" i="1"/>
  <c r="K469" i="1"/>
  <c r="AJ7" i="2" s="1"/>
  <c r="H469" i="1"/>
  <c r="AJ107" i="2" s="1"/>
  <c r="W468" i="1"/>
  <c r="V468" i="1"/>
  <c r="T468" i="1"/>
  <c r="AJ92" i="2" s="1"/>
  <c r="S468" i="1"/>
  <c r="AJ78" i="2" s="1"/>
  <c r="Q468" i="1"/>
  <c r="AJ54" i="2" s="1"/>
  <c r="P468" i="1"/>
  <c r="O468" i="1"/>
  <c r="AJ30" i="2" s="1"/>
  <c r="N468" i="1"/>
  <c r="AJ42" i="2" s="1"/>
  <c r="L468" i="1"/>
  <c r="K468" i="1"/>
  <c r="AJ6" i="2" s="1"/>
  <c r="H468" i="1"/>
  <c r="AJ106" i="2" s="1"/>
  <c r="W467" i="1"/>
  <c r="V467" i="1"/>
  <c r="T467" i="1"/>
  <c r="AJ91" i="2" s="1"/>
  <c r="S467" i="1"/>
  <c r="AJ77" i="2" s="1"/>
  <c r="Q467" i="1"/>
  <c r="AJ53" i="2" s="1"/>
  <c r="P467" i="1"/>
  <c r="O467" i="1"/>
  <c r="AJ29" i="2" s="1"/>
  <c r="N467" i="1"/>
  <c r="AJ41" i="2" s="1"/>
  <c r="L467" i="1"/>
  <c r="K467" i="1"/>
  <c r="AJ5" i="2" s="1"/>
  <c r="H467" i="1"/>
  <c r="W466" i="1"/>
  <c r="V466" i="1"/>
  <c r="T466" i="1"/>
  <c r="AJ90" i="2" s="1"/>
  <c r="S466" i="1"/>
  <c r="AJ76" i="2" s="1"/>
  <c r="Q466" i="1"/>
  <c r="AJ52" i="2" s="1"/>
  <c r="P466" i="1"/>
  <c r="O466" i="1"/>
  <c r="AJ28" i="2" s="1"/>
  <c r="N466" i="1"/>
  <c r="AJ40" i="2" s="1"/>
  <c r="L466" i="1"/>
  <c r="K466" i="1"/>
  <c r="AJ4" i="2" s="1"/>
  <c r="H466" i="1"/>
  <c r="AJ104" i="2" s="1"/>
  <c r="W465" i="1"/>
  <c r="V465" i="1"/>
  <c r="T465" i="1"/>
  <c r="AJ89" i="2" s="1"/>
  <c r="S465" i="1"/>
  <c r="AJ75" i="2" s="1"/>
  <c r="Q465" i="1"/>
  <c r="AJ51" i="2" s="1"/>
  <c r="P465" i="1"/>
  <c r="AJ63" i="2" s="1"/>
  <c r="O465" i="1"/>
  <c r="AJ27" i="2" s="1"/>
  <c r="N465" i="1"/>
  <c r="AJ39" i="2" s="1"/>
  <c r="L465" i="1"/>
  <c r="K465" i="1"/>
  <c r="AJ3" i="2" s="1"/>
  <c r="H465" i="1"/>
  <c r="AJ103" i="2" s="1"/>
  <c r="W462" i="1"/>
  <c r="V462" i="1"/>
  <c r="T462" i="1"/>
  <c r="AI100" i="2" s="1"/>
  <c r="S462" i="1"/>
  <c r="AI86" i="2" s="1"/>
  <c r="Q462" i="1"/>
  <c r="AI60" i="2" s="1"/>
  <c r="P462" i="1"/>
  <c r="AI72" i="2" s="1"/>
  <c r="O462" i="1"/>
  <c r="AI36" i="2" s="1"/>
  <c r="N462" i="1"/>
  <c r="AI48" i="2" s="1"/>
  <c r="L462" i="1"/>
  <c r="K462" i="1"/>
  <c r="AI12" i="2" s="1"/>
  <c r="H462" i="1"/>
  <c r="R462" i="1" s="1"/>
  <c r="W461" i="1"/>
  <c r="V461" i="1"/>
  <c r="T461" i="1"/>
  <c r="AI99" i="2" s="1"/>
  <c r="S461" i="1"/>
  <c r="AI85" i="2" s="1"/>
  <c r="Q461" i="1"/>
  <c r="AI59" i="2" s="1"/>
  <c r="P461" i="1"/>
  <c r="AI71" i="2" s="1"/>
  <c r="O461" i="1"/>
  <c r="AI35" i="2" s="1"/>
  <c r="N461" i="1"/>
  <c r="AI47" i="2" s="1"/>
  <c r="L461" i="1"/>
  <c r="H461" i="1"/>
  <c r="F165" i="2" s="1"/>
  <c r="W460" i="1"/>
  <c r="V460" i="1"/>
  <c r="T460" i="1"/>
  <c r="AI98" i="2" s="1"/>
  <c r="S460" i="1"/>
  <c r="AI84" i="2" s="1"/>
  <c r="Q460" i="1"/>
  <c r="AI58" i="2" s="1"/>
  <c r="P460" i="1"/>
  <c r="AI70" i="2" s="1"/>
  <c r="O460" i="1"/>
  <c r="AI34" i="2" s="1"/>
  <c r="N460" i="1"/>
  <c r="AI46" i="2" s="1"/>
  <c r="L460" i="1"/>
  <c r="K460" i="1"/>
  <c r="AI10" i="2" s="1"/>
  <c r="H460" i="1"/>
  <c r="AI112" i="2" s="1"/>
  <c r="W459" i="1"/>
  <c r="V459" i="1"/>
  <c r="T459" i="1"/>
  <c r="AI97" i="2" s="1"/>
  <c r="S459" i="1"/>
  <c r="AI83" i="2" s="1"/>
  <c r="Q459" i="1"/>
  <c r="P459" i="1"/>
  <c r="O459" i="1"/>
  <c r="N459" i="1"/>
  <c r="L459" i="1"/>
  <c r="K459" i="1"/>
  <c r="H459" i="1"/>
  <c r="AI111" i="2" s="1"/>
  <c r="W458" i="1"/>
  <c r="V458" i="1"/>
  <c r="T458" i="1"/>
  <c r="AI96" i="2" s="1"/>
  <c r="S458" i="1"/>
  <c r="AI82" i="2" s="1"/>
  <c r="Q458" i="1"/>
  <c r="P458" i="1"/>
  <c r="O458" i="1"/>
  <c r="N458" i="1"/>
  <c r="L458" i="1"/>
  <c r="K458" i="1"/>
  <c r="H458" i="1"/>
  <c r="AI110" i="2" s="1"/>
  <c r="W457" i="1"/>
  <c r="V457" i="1"/>
  <c r="T457" i="1"/>
  <c r="AI95" i="2" s="1"/>
  <c r="S457" i="1"/>
  <c r="AI81" i="2" s="1"/>
  <c r="Q457" i="1"/>
  <c r="P457" i="1"/>
  <c r="AI69" i="2" s="1"/>
  <c r="O457" i="1"/>
  <c r="N457" i="1"/>
  <c r="L457" i="1"/>
  <c r="H457" i="1"/>
  <c r="G457" i="1"/>
  <c r="AI9" i="2" s="1"/>
  <c r="W456" i="1"/>
  <c r="V456" i="1"/>
  <c r="T456" i="1"/>
  <c r="AI94" i="2" s="1"/>
  <c r="S456" i="1"/>
  <c r="AI80" i="2" s="1"/>
  <c r="Q456" i="1"/>
  <c r="AI56" i="2" s="1"/>
  <c r="P456" i="1"/>
  <c r="AI68" i="2" s="1"/>
  <c r="O456" i="1"/>
  <c r="AI32" i="2" s="1"/>
  <c r="N456" i="1"/>
  <c r="AI44" i="2" s="1"/>
  <c r="L456" i="1"/>
  <c r="K456" i="1"/>
  <c r="AI8" i="2" s="1"/>
  <c r="H456" i="1"/>
  <c r="AI108" i="2" s="1"/>
  <c r="W455" i="1"/>
  <c r="V455" i="1"/>
  <c r="T455" i="1"/>
  <c r="AI93" i="2" s="1"/>
  <c r="S455" i="1"/>
  <c r="AI79" i="2" s="1"/>
  <c r="Q455" i="1"/>
  <c r="AI55" i="2" s="1"/>
  <c r="P455" i="1"/>
  <c r="AI67" i="2" s="1"/>
  <c r="O455" i="1"/>
  <c r="AI31" i="2" s="1"/>
  <c r="N455" i="1"/>
  <c r="AI43" i="2" s="1"/>
  <c r="L455" i="1"/>
  <c r="K455" i="1"/>
  <c r="AI7" i="2" s="1"/>
  <c r="H455" i="1"/>
  <c r="AI107" i="2" s="1"/>
  <c r="W454" i="1"/>
  <c r="V454" i="1"/>
  <c r="T454" i="1"/>
  <c r="AI92" i="2" s="1"/>
  <c r="S454" i="1"/>
  <c r="AI78" i="2" s="1"/>
  <c r="Q454" i="1"/>
  <c r="AI54" i="2" s="1"/>
  <c r="P454" i="1"/>
  <c r="AI66" i="2" s="1"/>
  <c r="O454" i="1"/>
  <c r="AI30" i="2" s="1"/>
  <c r="N454" i="1"/>
  <c r="AI42" i="2" s="1"/>
  <c r="L454" i="1"/>
  <c r="K454" i="1"/>
  <c r="AI6" i="2" s="1"/>
  <c r="H454" i="1"/>
  <c r="AI106" i="2" s="1"/>
  <c r="W453" i="1"/>
  <c r="V453" i="1"/>
  <c r="T453" i="1"/>
  <c r="AI91" i="2" s="1"/>
  <c r="S453" i="1"/>
  <c r="AI77" i="2" s="1"/>
  <c r="Q453" i="1"/>
  <c r="AI53" i="2" s="1"/>
  <c r="P453" i="1"/>
  <c r="AI65" i="2" s="1"/>
  <c r="O453" i="1"/>
  <c r="AI29" i="2" s="1"/>
  <c r="N453" i="1"/>
  <c r="AI41" i="2" s="1"/>
  <c r="L453" i="1"/>
  <c r="K453" i="1"/>
  <c r="AI5" i="2" s="1"/>
  <c r="H453" i="1"/>
  <c r="W452" i="1"/>
  <c r="V452" i="1"/>
  <c r="T452" i="1"/>
  <c r="AI90" i="2" s="1"/>
  <c r="S452" i="1"/>
  <c r="AI76" i="2" s="1"/>
  <c r="Q452" i="1"/>
  <c r="AI52" i="2" s="1"/>
  <c r="P452" i="1"/>
  <c r="AI64" i="2" s="1"/>
  <c r="O452" i="1"/>
  <c r="AI28" i="2" s="1"/>
  <c r="N452" i="1"/>
  <c r="AI40" i="2" s="1"/>
  <c r="L452" i="1"/>
  <c r="K452" i="1"/>
  <c r="AI4" i="2" s="1"/>
  <c r="H452" i="1"/>
  <c r="AI104" i="2" s="1"/>
  <c r="W451" i="1"/>
  <c r="V451" i="1"/>
  <c r="T451" i="1"/>
  <c r="AI89" i="2" s="1"/>
  <c r="S451" i="1"/>
  <c r="AI75" i="2" s="1"/>
  <c r="Q451" i="1"/>
  <c r="AI51" i="2" s="1"/>
  <c r="P451" i="1"/>
  <c r="AI63" i="2" s="1"/>
  <c r="O451" i="1"/>
  <c r="AI27" i="2" s="1"/>
  <c r="N451" i="1"/>
  <c r="AI39" i="2" s="1"/>
  <c r="L451" i="1"/>
  <c r="K451" i="1"/>
  <c r="AI3" i="2" s="1"/>
  <c r="H451" i="1"/>
  <c r="AI103" i="2" s="1"/>
  <c r="W448" i="1"/>
  <c r="V448" i="1"/>
  <c r="T448" i="1"/>
  <c r="AH100" i="2" s="1"/>
  <c r="S448" i="1"/>
  <c r="AH86" i="2" s="1"/>
  <c r="Q448" i="1"/>
  <c r="AH60" i="2" s="1"/>
  <c r="P448" i="1"/>
  <c r="AH72" i="2" s="1"/>
  <c r="O448" i="1"/>
  <c r="AH36" i="2" s="1"/>
  <c r="N448" i="1"/>
  <c r="AH48" i="2" s="1"/>
  <c r="L448" i="1"/>
  <c r="K448" i="1"/>
  <c r="AH12" i="2" s="1"/>
  <c r="H448" i="1"/>
  <c r="R448" i="1" s="1"/>
  <c r="W447" i="1"/>
  <c r="V447" i="1"/>
  <c r="T447" i="1"/>
  <c r="AH99" i="2" s="1"/>
  <c r="S447" i="1"/>
  <c r="AH85" i="2" s="1"/>
  <c r="Q447" i="1"/>
  <c r="AH59" i="2" s="1"/>
  <c r="P447" i="1"/>
  <c r="AH71" i="2" s="1"/>
  <c r="O447" i="1"/>
  <c r="AH35" i="2" s="1"/>
  <c r="N447" i="1"/>
  <c r="AH47" i="2" s="1"/>
  <c r="L447" i="1"/>
  <c r="H447" i="1"/>
  <c r="F163" i="2" s="1"/>
  <c r="F164" i="2" s="1"/>
  <c r="W446" i="1"/>
  <c r="V446" i="1"/>
  <c r="T446" i="1"/>
  <c r="AH98" i="2" s="1"/>
  <c r="S446" i="1"/>
  <c r="AH84" i="2" s="1"/>
  <c r="Q446" i="1"/>
  <c r="AH58" i="2" s="1"/>
  <c r="P446" i="1"/>
  <c r="AH70" i="2" s="1"/>
  <c r="O446" i="1"/>
  <c r="AH34" i="2" s="1"/>
  <c r="N446" i="1"/>
  <c r="AH46" i="2" s="1"/>
  <c r="L446" i="1"/>
  <c r="K446" i="1"/>
  <c r="AH10" i="2" s="1"/>
  <c r="H446" i="1"/>
  <c r="AH112" i="2" s="1"/>
  <c r="W445" i="1"/>
  <c r="V445" i="1"/>
  <c r="T445" i="1"/>
  <c r="AH97" i="2" s="1"/>
  <c r="S445" i="1"/>
  <c r="AH83" i="2" s="1"/>
  <c r="Q445" i="1"/>
  <c r="P445" i="1"/>
  <c r="O445" i="1"/>
  <c r="N445" i="1"/>
  <c r="L445" i="1"/>
  <c r="K445" i="1"/>
  <c r="H445" i="1"/>
  <c r="AH111" i="2" s="1"/>
  <c r="W444" i="1"/>
  <c r="V444" i="1"/>
  <c r="T444" i="1"/>
  <c r="AH96" i="2" s="1"/>
  <c r="S444" i="1"/>
  <c r="AH82" i="2" s="1"/>
  <c r="Q444" i="1"/>
  <c r="P444" i="1"/>
  <c r="O444" i="1"/>
  <c r="N444" i="1"/>
  <c r="L444" i="1"/>
  <c r="K444" i="1"/>
  <c r="H444" i="1"/>
  <c r="AH110" i="2" s="1"/>
  <c r="W443" i="1"/>
  <c r="V443" i="1"/>
  <c r="T443" i="1"/>
  <c r="AH95" i="2" s="1"/>
  <c r="S443" i="1"/>
  <c r="AH81" i="2" s="1"/>
  <c r="Q443" i="1"/>
  <c r="P443" i="1"/>
  <c r="AH69" i="2" s="1"/>
  <c r="O443" i="1"/>
  <c r="N443" i="1"/>
  <c r="L443" i="1"/>
  <c r="H443" i="1"/>
  <c r="G443" i="1"/>
  <c r="AH9" i="2" s="1"/>
  <c r="W442" i="1"/>
  <c r="V442" i="1"/>
  <c r="T442" i="1"/>
  <c r="AH94" i="2" s="1"/>
  <c r="S442" i="1"/>
  <c r="AH80" i="2" s="1"/>
  <c r="Q442" i="1"/>
  <c r="AH56" i="2" s="1"/>
  <c r="P442" i="1"/>
  <c r="AH68" i="2" s="1"/>
  <c r="O442" i="1"/>
  <c r="AH32" i="2" s="1"/>
  <c r="N442" i="1"/>
  <c r="AH44" i="2" s="1"/>
  <c r="L442" i="1"/>
  <c r="K442" i="1"/>
  <c r="AH8" i="2" s="1"/>
  <c r="H442" i="1"/>
  <c r="AH108" i="2" s="1"/>
  <c r="W441" i="1"/>
  <c r="V441" i="1"/>
  <c r="T441" i="1"/>
  <c r="AH93" i="2" s="1"/>
  <c r="S441" i="1"/>
  <c r="AH79" i="2" s="1"/>
  <c r="Q441" i="1"/>
  <c r="AH55" i="2" s="1"/>
  <c r="P441" i="1"/>
  <c r="AH67" i="2" s="1"/>
  <c r="O441" i="1"/>
  <c r="AH31" i="2" s="1"/>
  <c r="N441" i="1"/>
  <c r="AH43" i="2" s="1"/>
  <c r="L441" i="1"/>
  <c r="K441" i="1"/>
  <c r="AH7" i="2" s="1"/>
  <c r="H441" i="1"/>
  <c r="AH107" i="2" s="1"/>
  <c r="W440" i="1"/>
  <c r="V440" i="1"/>
  <c r="T440" i="1"/>
  <c r="AH92" i="2" s="1"/>
  <c r="S440" i="1"/>
  <c r="AH78" i="2" s="1"/>
  <c r="Q440" i="1"/>
  <c r="AH54" i="2" s="1"/>
  <c r="P440" i="1"/>
  <c r="AH66" i="2" s="1"/>
  <c r="O440" i="1"/>
  <c r="AH30" i="2" s="1"/>
  <c r="N440" i="1"/>
  <c r="AH42" i="2" s="1"/>
  <c r="L440" i="1"/>
  <c r="K440" i="1"/>
  <c r="AH6" i="2" s="1"/>
  <c r="H440" i="1"/>
  <c r="AH106" i="2" s="1"/>
  <c r="W439" i="1"/>
  <c r="V439" i="1"/>
  <c r="T439" i="1"/>
  <c r="AH91" i="2" s="1"/>
  <c r="S439" i="1"/>
  <c r="AH77" i="2" s="1"/>
  <c r="Q439" i="1"/>
  <c r="AH53" i="2" s="1"/>
  <c r="P439" i="1"/>
  <c r="AH65" i="2" s="1"/>
  <c r="O439" i="1"/>
  <c r="AH29" i="2" s="1"/>
  <c r="N439" i="1"/>
  <c r="AH41" i="2" s="1"/>
  <c r="L439" i="1"/>
  <c r="K439" i="1"/>
  <c r="AH5" i="2" s="1"/>
  <c r="H439" i="1"/>
  <c r="W438" i="1"/>
  <c r="V438" i="1"/>
  <c r="T438" i="1"/>
  <c r="AH90" i="2" s="1"/>
  <c r="S438" i="1"/>
  <c r="AH76" i="2" s="1"/>
  <c r="Q438" i="1"/>
  <c r="AH52" i="2" s="1"/>
  <c r="P438" i="1"/>
  <c r="AH64" i="2" s="1"/>
  <c r="O438" i="1"/>
  <c r="AH28" i="2" s="1"/>
  <c r="N438" i="1"/>
  <c r="AH40" i="2" s="1"/>
  <c r="L438" i="1"/>
  <c r="K438" i="1"/>
  <c r="AH4" i="2" s="1"/>
  <c r="H438" i="1"/>
  <c r="AH104" i="2" s="1"/>
  <c r="W437" i="1"/>
  <c r="V437" i="1"/>
  <c r="T437" i="1"/>
  <c r="AH89" i="2" s="1"/>
  <c r="S437" i="1"/>
  <c r="AH75" i="2" s="1"/>
  <c r="Q437" i="1"/>
  <c r="AH51" i="2" s="1"/>
  <c r="P437" i="1"/>
  <c r="AH63" i="2" s="1"/>
  <c r="O437" i="1"/>
  <c r="AH27" i="2" s="1"/>
  <c r="N437" i="1"/>
  <c r="AH39" i="2" s="1"/>
  <c r="L437" i="1"/>
  <c r="K437" i="1"/>
  <c r="AH3" i="2" s="1"/>
  <c r="H437" i="1"/>
  <c r="AH103" i="2" s="1"/>
  <c r="W434" i="1"/>
  <c r="V434" i="1"/>
  <c r="T434" i="1"/>
  <c r="AG100" i="2" s="1"/>
  <c r="S434" i="1"/>
  <c r="AG86" i="2" s="1"/>
  <c r="Q434" i="1"/>
  <c r="AG60" i="2" s="1"/>
  <c r="P434" i="1"/>
  <c r="AG72" i="2" s="1"/>
  <c r="O434" i="1"/>
  <c r="AG36" i="2" s="1"/>
  <c r="N434" i="1"/>
  <c r="AG48" i="2" s="1"/>
  <c r="L434" i="1"/>
  <c r="K434" i="1"/>
  <c r="AG12" i="2" s="1"/>
  <c r="H434" i="1"/>
  <c r="R434" i="1" s="1"/>
  <c r="W433" i="1"/>
  <c r="V433" i="1"/>
  <c r="T433" i="1"/>
  <c r="AG99" i="2" s="1"/>
  <c r="S433" i="1"/>
  <c r="AG85" i="2" s="1"/>
  <c r="Q433" i="1"/>
  <c r="AG59" i="2" s="1"/>
  <c r="P433" i="1"/>
  <c r="AG71" i="2" s="1"/>
  <c r="O433" i="1"/>
  <c r="AG35" i="2" s="1"/>
  <c r="N433" i="1"/>
  <c r="AG47" i="2" s="1"/>
  <c r="L433" i="1"/>
  <c r="H433" i="1"/>
  <c r="F162" i="2" s="1"/>
  <c r="W432" i="1"/>
  <c r="V432" i="1"/>
  <c r="T432" i="1"/>
  <c r="AG98" i="2" s="1"/>
  <c r="S432" i="1"/>
  <c r="AG84" i="2" s="1"/>
  <c r="Q432" i="1"/>
  <c r="AG58" i="2" s="1"/>
  <c r="P432" i="1"/>
  <c r="AG70" i="2" s="1"/>
  <c r="O432" i="1"/>
  <c r="AG34" i="2" s="1"/>
  <c r="N432" i="1"/>
  <c r="AG46" i="2" s="1"/>
  <c r="L432" i="1"/>
  <c r="K432" i="1"/>
  <c r="AG10" i="2" s="1"/>
  <c r="H432" i="1"/>
  <c r="AG112" i="2" s="1"/>
  <c r="W431" i="1"/>
  <c r="V431" i="1"/>
  <c r="T431" i="1"/>
  <c r="AG97" i="2" s="1"/>
  <c r="S431" i="1"/>
  <c r="AG83" i="2" s="1"/>
  <c r="Q431" i="1"/>
  <c r="P431" i="1"/>
  <c r="O431" i="1"/>
  <c r="N431" i="1"/>
  <c r="L431" i="1"/>
  <c r="K431" i="1"/>
  <c r="H431" i="1"/>
  <c r="AG111" i="2" s="1"/>
  <c r="W430" i="1"/>
  <c r="V430" i="1"/>
  <c r="T430" i="1"/>
  <c r="AG96" i="2" s="1"/>
  <c r="S430" i="1"/>
  <c r="AG82" i="2" s="1"/>
  <c r="Q430" i="1"/>
  <c r="P430" i="1"/>
  <c r="O430" i="1"/>
  <c r="N430" i="1"/>
  <c r="L430" i="1"/>
  <c r="K430" i="1"/>
  <c r="H430" i="1"/>
  <c r="AG110" i="2" s="1"/>
  <c r="W429" i="1"/>
  <c r="V429" i="1"/>
  <c r="T429" i="1"/>
  <c r="AG95" i="2" s="1"/>
  <c r="S429" i="1"/>
  <c r="AG81" i="2" s="1"/>
  <c r="Q429" i="1"/>
  <c r="P429" i="1"/>
  <c r="AG69" i="2" s="1"/>
  <c r="O429" i="1"/>
  <c r="N429" i="1"/>
  <c r="L429" i="1"/>
  <c r="H429" i="1"/>
  <c r="G429" i="1"/>
  <c r="AG9" i="2" s="1"/>
  <c r="W428" i="1"/>
  <c r="V428" i="1"/>
  <c r="T428" i="1"/>
  <c r="AG94" i="2" s="1"/>
  <c r="S428" i="1"/>
  <c r="AG80" i="2" s="1"/>
  <c r="Q428" i="1"/>
  <c r="AG56" i="2" s="1"/>
  <c r="P428" i="1"/>
  <c r="AG68" i="2" s="1"/>
  <c r="O428" i="1"/>
  <c r="AG32" i="2" s="1"/>
  <c r="N428" i="1"/>
  <c r="AG44" i="2" s="1"/>
  <c r="L428" i="1"/>
  <c r="K428" i="1"/>
  <c r="AG8" i="2" s="1"/>
  <c r="H428" i="1"/>
  <c r="AG108" i="2" s="1"/>
  <c r="W427" i="1"/>
  <c r="V427" i="1"/>
  <c r="T427" i="1"/>
  <c r="AG93" i="2" s="1"/>
  <c r="S427" i="1"/>
  <c r="AG79" i="2" s="1"/>
  <c r="Q427" i="1"/>
  <c r="AG55" i="2" s="1"/>
  <c r="P427" i="1"/>
  <c r="AG67" i="2" s="1"/>
  <c r="O427" i="1"/>
  <c r="AG31" i="2" s="1"/>
  <c r="N427" i="1"/>
  <c r="AG43" i="2" s="1"/>
  <c r="L427" i="1"/>
  <c r="K427" i="1"/>
  <c r="AG7" i="2" s="1"/>
  <c r="H427" i="1"/>
  <c r="AG107" i="2" s="1"/>
  <c r="W426" i="1"/>
  <c r="V426" i="1"/>
  <c r="T426" i="1"/>
  <c r="AG92" i="2" s="1"/>
  <c r="S426" i="1"/>
  <c r="AG78" i="2" s="1"/>
  <c r="Q426" i="1"/>
  <c r="AG54" i="2" s="1"/>
  <c r="P426" i="1"/>
  <c r="AG66" i="2" s="1"/>
  <c r="O426" i="1"/>
  <c r="AG30" i="2" s="1"/>
  <c r="N426" i="1"/>
  <c r="AG42" i="2" s="1"/>
  <c r="L426" i="1"/>
  <c r="K426" i="1"/>
  <c r="AG6" i="2" s="1"/>
  <c r="H426" i="1"/>
  <c r="AG106" i="2" s="1"/>
  <c r="W425" i="1"/>
  <c r="V425" i="1"/>
  <c r="T425" i="1"/>
  <c r="AG91" i="2" s="1"/>
  <c r="S425" i="1"/>
  <c r="AG77" i="2" s="1"/>
  <c r="Q425" i="1"/>
  <c r="AG53" i="2" s="1"/>
  <c r="P425" i="1"/>
  <c r="AG65" i="2" s="1"/>
  <c r="O425" i="1"/>
  <c r="AG29" i="2" s="1"/>
  <c r="N425" i="1"/>
  <c r="AG41" i="2" s="1"/>
  <c r="L425" i="1"/>
  <c r="K425" i="1"/>
  <c r="AG5" i="2" s="1"/>
  <c r="H425" i="1"/>
  <c r="W424" i="1"/>
  <c r="V424" i="1"/>
  <c r="T424" i="1"/>
  <c r="AG90" i="2" s="1"/>
  <c r="S424" i="1"/>
  <c r="AG76" i="2" s="1"/>
  <c r="Q424" i="1"/>
  <c r="AG52" i="2" s="1"/>
  <c r="P424" i="1"/>
  <c r="AG64" i="2" s="1"/>
  <c r="O424" i="1"/>
  <c r="AG28" i="2" s="1"/>
  <c r="N424" i="1"/>
  <c r="AG40" i="2" s="1"/>
  <c r="L424" i="1"/>
  <c r="K424" i="1"/>
  <c r="AG4" i="2" s="1"/>
  <c r="H424" i="1"/>
  <c r="AG104" i="2" s="1"/>
  <c r="W423" i="1"/>
  <c r="V423" i="1"/>
  <c r="T423" i="1"/>
  <c r="AG89" i="2" s="1"/>
  <c r="S423" i="1"/>
  <c r="AG75" i="2" s="1"/>
  <c r="Q423" i="1"/>
  <c r="AG51" i="2" s="1"/>
  <c r="P423" i="1"/>
  <c r="AG63" i="2" s="1"/>
  <c r="O423" i="1"/>
  <c r="AG27" i="2" s="1"/>
  <c r="N423" i="1"/>
  <c r="AG39" i="2" s="1"/>
  <c r="L423" i="1"/>
  <c r="K423" i="1"/>
  <c r="AG3" i="2" s="1"/>
  <c r="H423" i="1"/>
  <c r="AG103" i="2" s="1"/>
  <c r="W420" i="1"/>
  <c r="V420" i="1"/>
  <c r="T420" i="1"/>
  <c r="AF100" i="2" s="1"/>
  <c r="S420" i="1"/>
  <c r="AF86" i="2" s="1"/>
  <c r="Q420" i="1"/>
  <c r="AF60" i="2" s="1"/>
  <c r="P420" i="1"/>
  <c r="AF72" i="2" s="1"/>
  <c r="O420" i="1"/>
  <c r="AF36" i="2" s="1"/>
  <c r="N420" i="1"/>
  <c r="AF48" i="2" s="1"/>
  <c r="L420" i="1"/>
  <c r="K420" i="1"/>
  <c r="AF12" i="2" s="1"/>
  <c r="H420" i="1"/>
  <c r="R420" i="1" s="1"/>
  <c r="W419" i="1"/>
  <c r="V419" i="1"/>
  <c r="T419" i="1"/>
  <c r="AF99" i="2" s="1"/>
  <c r="S419" i="1"/>
  <c r="AF85" i="2" s="1"/>
  <c r="Q419" i="1"/>
  <c r="AF59" i="2" s="1"/>
  <c r="P419" i="1"/>
  <c r="AF71" i="2" s="1"/>
  <c r="O419" i="1"/>
  <c r="AF35" i="2" s="1"/>
  <c r="N419" i="1"/>
  <c r="AF47" i="2" s="1"/>
  <c r="L419" i="1"/>
  <c r="H419" i="1"/>
  <c r="F161" i="2" s="1"/>
  <c r="W418" i="1"/>
  <c r="V418" i="1"/>
  <c r="T418" i="1"/>
  <c r="S418" i="1"/>
  <c r="AF84" i="2" s="1"/>
  <c r="Q418" i="1"/>
  <c r="AF58" i="2" s="1"/>
  <c r="P418" i="1"/>
  <c r="AF70" i="2" s="1"/>
  <c r="O418" i="1"/>
  <c r="AF34" i="2" s="1"/>
  <c r="N418" i="1"/>
  <c r="AF46" i="2" s="1"/>
  <c r="L418" i="1"/>
  <c r="K418" i="1"/>
  <c r="AF10" i="2" s="1"/>
  <c r="H418" i="1"/>
  <c r="R418" i="1" s="1"/>
  <c r="W417" i="1"/>
  <c r="V417" i="1"/>
  <c r="T417" i="1"/>
  <c r="AF97" i="2" s="1"/>
  <c r="S417" i="1"/>
  <c r="AF83" i="2" s="1"/>
  <c r="Q417" i="1"/>
  <c r="P417" i="1"/>
  <c r="O417" i="1"/>
  <c r="N417" i="1"/>
  <c r="L417" i="1"/>
  <c r="K417" i="1"/>
  <c r="H417" i="1"/>
  <c r="AF111" i="2" s="1"/>
  <c r="W416" i="1"/>
  <c r="V416" i="1"/>
  <c r="T416" i="1"/>
  <c r="AF96" i="2" s="1"/>
  <c r="S416" i="1"/>
  <c r="AF82" i="2" s="1"/>
  <c r="Q416" i="1"/>
  <c r="P416" i="1"/>
  <c r="O416" i="1"/>
  <c r="N416" i="1"/>
  <c r="L416" i="1"/>
  <c r="K416" i="1"/>
  <c r="H416" i="1"/>
  <c r="AF110" i="2" s="1"/>
  <c r="W415" i="1"/>
  <c r="V415" i="1"/>
  <c r="T415" i="1"/>
  <c r="AF95" i="2" s="1"/>
  <c r="S415" i="1"/>
  <c r="AF81" i="2" s="1"/>
  <c r="Q415" i="1"/>
  <c r="P415" i="1"/>
  <c r="AF69" i="2" s="1"/>
  <c r="O415" i="1"/>
  <c r="N415" i="1"/>
  <c r="L415" i="1"/>
  <c r="H415" i="1"/>
  <c r="G415" i="1"/>
  <c r="AF9" i="2" s="1"/>
  <c r="W414" i="1"/>
  <c r="V414" i="1"/>
  <c r="T414" i="1"/>
  <c r="AF94" i="2" s="1"/>
  <c r="S414" i="1"/>
  <c r="AF80" i="2" s="1"/>
  <c r="Q414" i="1"/>
  <c r="AF56" i="2" s="1"/>
  <c r="P414" i="1"/>
  <c r="AF68" i="2" s="1"/>
  <c r="O414" i="1"/>
  <c r="AF32" i="2" s="1"/>
  <c r="N414" i="1"/>
  <c r="AF44" i="2" s="1"/>
  <c r="L414" i="1"/>
  <c r="K414" i="1"/>
  <c r="AF8" i="2" s="1"/>
  <c r="H414" i="1"/>
  <c r="AF108" i="2" s="1"/>
  <c r="W413" i="1"/>
  <c r="V413" i="1"/>
  <c r="T413" i="1"/>
  <c r="AF93" i="2" s="1"/>
  <c r="S413" i="1"/>
  <c r="AF79" i="2" s="1"/>
  <c r="Q413" i="1"/>
  <c r="AF55" i="2" s="1"/>
  <c r="P413" i="1"/>
  <c r="AF67" i="2" s="1"/>
  <c r="O413" i="1"/>
  <c r="AF31" i="2" s="1"/>
  <c r="N413" i="1"/>
  <c r="AF43" i="2" s="1"/>
  <c r="L413" i="1"/>
  <c r="K413" i="1"/>
  <c r="AF7" i="2" s="1"/>
  <c r="H413" i="1"/>
  <c r="AF107" i="2" s="1"/>
  <c r="W412" i="1"/>
  <c r="V412" i="1"/>
  <c r="T412" i="1"/>
  <c r="AF92" i="2" s="1"/>
  <c r="S412" i="1"/>
  <c r="AF78" i="2" s="1"/>
  <c r="Q412" i="1"/>
  <c r="AF54" i="2" s="1"/>
  <c r="P412" i="1"/>
  <c r="AF66" i="2" s="1"/>
  <c r="O412" i="1"/>
  <c r="AF30" i="2" s="1"/>
  <c r="N412" i="1"/>
  <c r="AF42" i="2" s="1"/>
  <c r="L412" i="1"/>
  <c r="K412" i="1"/>
  <c r="AF6" i="2" s="1"/>
  <c r="H412" i="1"/>
  <c r="AF106" i="2" s="1"/>
  <c r="W411" i="1"/>
  <c r="V411" i="1"/>
  <c r="T411" i="1"/>
  <c r="AF91" i="2" s="1"/>
  <c r="S411" i="1"/>
  <c r="AF77" i="2" s="1"/>
  <c r="Q411" i="1"/>
  <c r="AF53" i="2" s="1"/>
  <c r="P411" i="1"/>
  <c r="AF65" i="2" s="1"/>
  <c r="O411" i="1"/>
  <c r="AF29" i="2" s="1"/>
  <c r="N411" i="1"/>
  <c r="AF41" i="2" s="1"/>
  <c r="L411" i="1"/>
  <c r="K411" i="1"/>
  <c r="AF5" i="2" s="1"/>
  <c r="H411" i="1"/>
  <c r="W410" i="1"/>
  <c r="V410" i="1"/>
  <c r="T410" i="1"/>
  <c r="AF90" i="2" s="1"/>
  <c r="S410" i="1"/>
  <c r="AF76" i="2" s="1"/>
  <c r="Q410" i="1"/>
  <c r="AF52" i="2" s="1"/>
  <c r="P410" i="1"/>
  <c r="AF64" i="2" s="1"/>
  <c r="O410" i="1"/>
  <c r="AF28" i="2" s="1"/>
  <c r="N410" i="1"/>
  <c r="AF40" i="2" s="1"/>
  <c r="L410" i="1"/>
  <c r="K410" i="1"/>
  <c r="AF4" i="2" s="1"/>
  <c r="H410" i="1"/>
  <c r="AF104" i="2" s="1"/>
  <c r="W409" i="1"/>
  <c r="V409" i="1"/>
  <c r="T409" i="1"/>
  <c r="AF89" i="2" s="1"/>
  <c r="S409" i="1"/>
  <c r="AF75" i="2" s="1"/>
  <c r="Q409" i="1"/>
  <c r="AF51" i="2" s="1"/>
  <c r="P409" i="1"/>
  <c r="AF63" i="2" s="1"/>
  <c r="O409" i="1"/>
  <c r="AF27" i="2" s="1"/>
  <c r="N409" i="1"/>
  <c r="AF39" i="2" s="1"/>
  <c r="L409" i="1"/>
  <c r="K409" i="1"/>
  <c r="AF3" i="2" s="1"/>
  <c r="H409" i="1"/>
  <c r="AF103" i="2" s="1"/>
  <c r="W406" i="1"/>
  <c r="V406" i="1"/>
  <c r="T406" i="1"/>
  <c r="AE100" i="2" s="1"/>
  <c r="S406" i="1"/>
  <c r="AE86" i="2" s="1"/>
  <c r="Q406" i="1"/>
  <c r="AE60" i="2" s="1"/>
  <c r="P406" i="1"/>
  <c r="AE72" i="2" s="1"/>
  <c r="O406" i="1"/>
  <c r="AE36" i="2" s="1"/>
  <c r="N406" i="1"/>
  <c r="AE48" i="2" s="1"/>
  <c r="L406" i="1"/>
  <c r="K406" i="1"/>
  <c r="AE12" i="2" s="1"/>
  <c r="H406" i="1"/>
  <c r="R406" i="1" s="1"/>
  <c r="W405" i="1"/>
  <c r="V405" i="1"/>
  <c r="T405" i="1"/>
  <c r="AE99" i="2" s="1"/>
  <c r="S405" i="1"/>
  <c r="AE85" i="2" s="1"/>
  <c r="Q405" i="1"/>
  <c r="AE59" i="2" s="1"/>
  <c r="P405" i="1"/>
  <c r="AE71" i="2" s="1"/>
  <c r="O405" i="1"/>
  <c r="AE35" i="2" s="1"/>
  <c r="N405" i="1"/>
  <c r="AE47" i="2" s="1"/>
  <c r="L405" i="1"/>
  <c r="H405" i="1"/>
  <c r="F160" i="2" s="1"/>
  <c r="W404" i="1"/>
  <c r="V404" i="1"/>
  <c r="T404" i="1"/>
  <c r="AE98" i="2" s="1"/>
  <c r="S404" i="1"/>
  <c r="AE84" i="2" s="1"/>
  <c r="Q404" i="1"/>
  <c r="AE58" i="2" s="1"/>
  <c r="P404" i="1"/>
  <c r="AE70" i="2" s="1"/>
  <c r="O404" i="1"/>
  <c r="AE34" i="2" s="1"/>
  <c r="N404" i="1"/>
  <c r="AE46" i="2" s="1"/>
  <c r="L404" i="1"/>
  <c r="K404" i="1"/>
  <c r="AE10" i="2" s="1"/>
  <c r="H404" i="1"/>
  <c r="AE112" i="2" s="1"/>
  <c r="W403" i="1"/>
  <c r="V403" i="1"/>
  <c r="T403" i="1"/>
  <c r="AE97" i="2" s="1"/>
  <c r="S403" i="1"/>
  <c r="AE83" i="2" s="1"/>
  <c r="Q403" i="1"/>
  <c r="P403" i="1"/>
  <c r="O403" i="1"/>
  <c r="N403" i="1"/>
  <c r="L403" i="1"/>
  <c r="K403" i="1"/>
  <c r="H403" i="1"/>
  <c r="AE111" i="2" s="1"/>
  <c r="W402" i="1"/>
  <c r="V402" i="1"/>
  <c r="T402" i="1"/>
  <c r="AE96" i="2" s="1"/>
  <c r="S402" i="1"/>
  <c r="AE82" i="2" s="1"/>
  <c r="Q402" i="1"/>
  <c r="P402" i="1"/>
  <c r="O402" i="1"/>
  <c r="N402" i="1"/>
  <c r="L402" i="1"/>
  <c r="K402" i="1"/>
  <c r="H402" i="1"/>
  <c r="AE110" i="2" s="1"/>
  <c r="W401" i="1"/>
  <c r="V401" i="1"/>
  <c r="T401" i="1"/>
  <c r="AE95" i="2" s="1"/>
  <c r="S401" i="1"/>
  <c r="AE81" i="2" s="1"/>
  <c r="Q401" i="1"/>
  <c r="P401" i="1"/>
  <c r="AE69" i="2" s="1"/>
  <c r="O401" i="1"/>
  <c r="N401" i="1"/>
  <c r="L401" i="1"/>
  <c r="H401" i="1"/>
  <c r="G401" i="1"/>
  <c r="AE9" i="2" s="1"/>
  <c r="W400" i="1"/>
  <c r="V400" i="1"/>
  <c r="T400" i="1"/>
  <c r="AE94" i="2" s="1"/>
  <c r="S400" i="1"/>
  <c r="AE80" i="2" s="1"/>
  <c r="Q400" i="1"/>
  <c r="AE56" i="2" s="1"/>
  <c r="P400" i="1"/>
  <c r="AE68" i="2" s="1"/>
  <c r="O400" i="1"/>
  <c r="AE32" i="2" s="1"/>
  <c r="N400" i="1"/>
  <c r="AE44" i="2" s="1"/>
  <c r="L400" i="1"/>
  <c r="K400" i="1"/>
  <c r="AE8" i="2" s="1"/>
  <c r="H400" i="1"/>
  <c r="AE108" i="2" s="1"/>
  <c r="W399" i="1"/>
  <c r="V399" i="1"/>
  <c r="T399" i="1"/>
  <c r="AE93" i="2" s="1"/>
  <c r="S399" i="1"/>
  <c r="AE79" i="2" s="1"/>
  <c r="Q399" i="1"/>
  <c r="AE55" i="2" s="1"/>
  <c r="P399" i="1"/>
  <c r="AE67" i="2" s="1"/>
  <c r="O399" i="1"/>
  <c r="AE31" i="2" s="1"/>
  <c r="N399" i="1"/>
  <c r="AE43" i="2" s="1"/>
  <c r="L399" i="1"/>
  <c r="K399" i="1"/>
  <c r="AE7" i="2" s="1"/>
  <c r="H399" i="1"/>
  <c r="AE107" i="2" s="1"/>
  <c r="W398" i="1"/>
  <c r="V398" i="1"/>
  <c r="T398" i="1"/>
  <c r="AE92" i="2" s="1"/>
  <c r="S398" i="1"/>
  <c r="AE78" i="2" s="1"/>
  <c r="Q398" i="1"/>
  <c r="AE54" i="2" s="1"/>
  <c r="P398" i="1"/>
  <c r="AE66" i="2" s="1"/>
  <c r="O398" i="1"/>
  <c r="AE30" i="2" s="1"/>
  <c r="N398" i="1"/>
  <c r="AE42" i="2" s="1"/>
  <c r="L398" i="1"/>
  <c r="K398" i="1"/>
  <c r="AE6" i="2" s="1"/>
  <c r="H398" i="1"/>
  <c r="AE106" i="2" s="1"/>
  <c r="W397" i="1"/>
  <c r="V397" i="1"/>
  <c r="T397" i="1"/>
  <c r="AE91" i="2" s="1"/>
  <c r="S397" i="1"/>
  <c r="AE77" i="2" s="1"/>
  <c r="Q397" i="1"/>
  <c r="AE53" i="2" s="1"/>
  <c r="P397" i="1"/>
  <c r="AE65" i="2" s="1"/>
  <c r="O397" i="1"/>
  <c r="AE29" i="2" s="1"/>
  <c r="N397" i="1"/>
  <c r="AE41" i="2" s="1"/>
  <c r="L397" i="1"/>
  <c r="K397" i="1"/>
  <c r="AE5" i="2" s="1"/>
  <c r="H397" i="1"/>
  <c r="W396" i="1"/>
  <c r="V396" i="1"/>
  <c r="T396" i="1"/>
  <c r="AE90" i="2" s="1"/>
  <c r="S396" i="1"/>
  <c r="AE76" i="2" s="1"/>
  <c r="Q396" i="1"/>
  <c r="AE52" i="2" s="1"/>
  <c r="P396" i="1"/>
  <c r="AE64" i="2" s="1"/>
  <c r="O396" i="1"/>
  <c r="AE28" i="2" s="1"/>
  <c r="N396" i="1"/>
  <c r="AE40" i="2" s="1"/>
  <c r="L396" i="1"/>
  <c r="K396" i="1"/>
  <c r="AE4" i="2" s="1"/>
  <c r="H396" i="1"/>
  <c r="AE104" i="2" s="1"/>
  <c r="W395" i="1"/>
  <c r="V395" i="1"/>
  <c r="T395" i="1"/>
  <c r="AE89" i="2" s="1"/>
  <c r="S395" i="1"/>
  <c r="AE75" i="2" s="1"/>
  <c r="Q395" i="1"/>
  <c r="AE51" i="2" s="1"/>
  <c r="P395" i="1"/>
  <c r="AE63" i="2" s="1"/>
  <c r="O395" i="1"/>
  <c r="AE27" i="2" s="1"/>
  <c r="N395" i="1"/>
  <c r="AE39" i="2" s="1"/>
  <c r="L395" i="1"/>
  <c r="K395" i="1"/>
  <c r="AE3" i="2" s="1"/>
  <c r="H395" i="1"/>
  <c r="AE103" i="2" s="1"/>
  <c r="W392" i="1"/>
  <c r="V392" i="1"/>
  <c r="T392" i="1"/>
  <c r="AD100" i="2" s="1"/>
  <c r="S392" i="1"/>
  <c r="AD86" i="2" s="1"/>
  <c r="Q392" i="1"/>
  <c r="AD60" i="2" s="1"/>
  <c r="P392" i="1"/>
  <c r="AD72" i="2" s="1"/>
  <c r="O392" i="1"/>
  <c r="AD36" i="2" s="1"/>
  <c r="N392" i="1"/>
  <c r="AD48" i="2" s="1"/>
  <c r="L392" i="1"/>
  <c r="K392" i="1"/>
  <c r="AD12" i="2" s="1"/>
  <c r="H392" i="1"/>
  <c r="R392" i="1" s="1"/>
  <c r="W391" i="1"/>
  <c r="V391" i="1"/>
  <c r="T391" i="1"/>
  <c r="AD99" i="2" s="1"/>
  <c r="S391" i="1"/>
  <c r="AD85" i="2" s="1"/>
  <c r="Q391" i="1"/>
  <c r="AD59" i="2" s="1"/>
  <c r="P391" i="1"/>
  <c r="AD71" i="2" s="1"/>
  <c r="O391" i="1"/>
  <c r="AD35" i="2" s="1"/>
  <c r="N391" i="1"/>
  <c r="AD47" i="2" s="1"/>
  <c r="L391" i="1"/>
  <c r="H391" i="1"/>
  <c r="F159" i="2" s="1"/>
  <c r="W390" i="1"/>
  <c r="V390" i="1"/>
  <c r="T390" i="1"/>
  <c r="AD98" i="2" s="1"/>
  <c r="S390" i="1"/>
  <c r="AD84" i="2" s="1"/>
  <c r="Q390" i="1"/>
  <c r="AD58" i="2" s="1"/>
  <c r="P390" i="1"/>
  <c r="AD70" i="2" s="1"/>
  <c r="O390" i="1"/>
  <c r="AD34" i="2" s="1"/>
  <c r="N390" i="1"/>
  <c r="AD46" i="2" s="1"/>
  <c r="L390" i="1"/>
  <c r="K390" i="1"/>
  <c r="AD10" i="2" s="1"/>
  <c r="H390" i="1"/>
  <c r="AD112" i="2" s="1"/>
  <c r="W389" i="1"/>
  <c r="V389" i="1"/>
  <c r="T389" i="1"/>
  <c r="AD97" i="2" s="1"/>
  <c r="S389" i="1"/>
  <c r="AD83" i="2" s="1"/>
  <c r="Q389" i="1"/>
  <c r="P389" i="1"/>
  <c r="O389" i="1"/>
  <c r="N389" i="1"/>
  <c r="L389" i="1"/>
  <c r="K389" i="1"/>
  <c r="H389" i="1"/>
  <c r="AD111" i="2" s="1"/>
  <c r="W388" i="1"/>
  <c r="V388" i="1"/>
  <c r="T388" i="1"/>
  <c r="AD96" i="2" s="1"/>
  <c r="S388" i="1"/>
  <c r="AD82" i="2" s="1"/>
  <c r="Q388" i="1"/>
  <c r="P388" i="1"/>
  <c r="O388" i="1"/>
  <c r="N388" i="1"/>
  <c r="L388" i="1"/>
  <c r="K388" i="1"/>
  <c r="H388" i="1"/>
  <c r="AD110" i="2" s="1"/>
  <c r="W387" i="1"/>
  <c r="V387" i="1"/>
  <c r="T387" i="1"/>
  <c r="AD95" i="2" s="1"/>
  <c r="S387" i="1"/>
  <c r="AD81" i="2" s="1"/>
  <c r="Q387" i="1"/>
  <c r="P387" i="1"/>
  <c r="AD69" i="2" s="1"/>
  <c r="O387" i="1"/>
  <c r="N387" i="1"/>
  <c r="L387" i="1"/>
  <c r="H387" i="1"/>
  <c r="G387" i="1"/>
  <c r="AD9" i="2" s="1"/>
  <c r="W386" i="1"/>
  <c r="V386" i="1"/>
  <c r="T386" i="1"/>
  <c r="AD94" i="2" s="1"/>
  <c r="S386" i="1"/>
  <c r="AD80" i="2" s="1"/>
  <c r="Q386" i="1"/>
  <c r="AD56" i="2" s="1"/>
  <c r="P386" i="1"/>
  <c r="AD68" i="2" s="1"/>
  <c r="O386" i="1"/>
  <c r="AD32" i="2" s="1"/>
  <c r="N386" i="1"/>
  <c r="AD44" i="2" s="1"/>
  <c r="L386" i="1"/>
  <c r="K386" i="1"/>
  <c r="AD8" i="2" s="1"/>
  <c r="H386" i="1"/>
  <c r="AD108" i="2" s="1"/>
  <c r="W385" i="1"/>
  <c r="V385" i="1"/>
  <c r="T385" i="1"/>
  <c r="AD93" i="2" s="1"/>
  <c r="S385" i="1"/>
  <c r="AD79" i="2" s="1"/>
  <c r="Q385" i="1"/>
  <c r="AD55" i="2" s="1"/>
  <c r="P385" i="1"/>
  <c r="AD67" i="2" s="1"/>
  <c r="O385" i="1"/>
  <c r="AD31" i="2" s="1"/>
  <c r="N385" i="1"/>
  <c r="AD43" i="2" s="1"/>
  <c r="L385" i="1"/>
  <c r="K385" i="1"/>
  <c r="AD7" i="2" s="1"/>
  <c r="H385" i="1"/>
  <c r="AD107" i="2" s="1"/>
  <c r="W384" i="1"/>
  <c r="V384" i="1"/>
  <c r="T384" i="1"/>
  <c r="AD92" i="2" s="1"/>
  <c r="S384" i="1"/>
  <c r="AD78" i="2" s="1"/>
  <c r="Q384" i="1"/>
  <c r="AD54" i="2" s="1"/>
  <c r="P384" i="1"/>
  <c r="AD66" i="2" s="1"/>
  <c r="O384" i="1"/>
  <c r="AD30" i="2" s="1"/>
  <c r="N384" i="1"/>
  <c r="AD42" i="2" s="1"/>
  <c r="L384" i="1"/>
  <c r="K384" i="1"/>
  <c r="AD6" i="2" s="1"/>
  <c r="H384" i="1"/>
  <c r="AD106" i="2" s="1"/>
  <c r="W383" i="1"/>
  <c r="V383" i="1"/>
  <c r="T383" i="1"/>
  <c r="AD91" i="2" s="1"/>
  <c r="S383" i="1"/>
  <c r="AD77" i="2" s="1"/>
  <c r="Q383" i="1"/>
  <c r="AD53" i="2" s="1"/>
  <c r="P383" i="1"/>
  <c r="AD65" i="2" s="1"/>
  <c r="O383" i="1"/>
  <c r="AD29" i="2" s="1"/>
  <c r="N383" i="1"/>
  <c r="AD41" i="2" s="1"/>
  <c r="L383" i="1"/>
  <c r="K383" i="1"/>
  <c r="AD5" i="2" s="1"/>
  <c r="H383" i="1"/>
  <c r="W382" i="1"/>
  <c r="V382" i="1"/>
  <c r="T382" i="1"/>
  <c r="AD90" i="2" s="1"/>
  <c r="S382" i="1"/>
  <c r="AD76" i="2" s="1"/>
  <c r="Q382" i="1"/>
  <c r="AD52" i="2" s="1"/>
  <c r="P382" i="1"/>
  <c r="AD64" i="2" s="1"/>
  <c r="O382" i="1"/>
  <c r="AD28" i="2" s="1"/>
  <c r="N382" i="1"/>
  <c r="AD40" i="2" s="1"/>
  <c r="L382" i="1"/>
  <c r="K382" i="1"/>
  <c r="AD4" i="2" s="1"/>
  <c r="H382" i="1"/>
  <c r="AD104" i="2" s="1"/>
  <c r="W381" i="1"/>
  <c r="V381" i="1"/>
  <c r="T381" i="1"/>
  <c r="AD89" i="2" s="1"/>
  <c r="S381" i="1"/>
  <c r="AD75" i="2" s="1"/>
  <c r="Q381" i="1"/>
  <c r="AD51" i="2" s="1"/>
  <c r="P381" i="1"/>
  <c r="AD63" i="2" s="1"/>
  <c r="O381" i="1"/>
  <c r="AD27" i="2" s="1"/>
  <c r="N381" i="1"/>
  <c r="AD39" i="2" s="1"/>
  <c r="L381" i="1"/>
  <c r="K381" i="1"/>
  <c r="AD3" i="2" s="1"/>
  <c r="H381" i="1"/>
  <c r="AD103" i="2" s="1"/>
  <c r="T378" i="1"/>
  <c r="AC100" i="2" s="1"/>
  <c r="S378" i="1"/>
  <c r="AC86" i="2" s="1"/>
  <c r="Q378" i="1"/>
  <c r="AC60" i="2" s="1"/>
  <c r="P378" i="1"/>
  <c r="AC72" i="2" s="1"/>
  <c r="O378" i="1"/>
  <c r="AC36" i="2" s="1"/>
  <c r="N378" i="1"/>
  <c r="AC48" i="2" s="1"/>
  <c r="L378" i="1"/>
  <c r="AC24" i="2" s="1"/>
  <c r="K378" i="1"/>
  <c r="AC12" i="2" s="1"/>
  <c r="H378" i="1"/>
  <c r="R378" i="1" s="1"/>
  <c r="T377" i="1"/>
  <c r="AC99" i="2" s="1"/>
  <c r="S377" i="1"/>
  <c r="AC85" i="2" s="1"/>
  <c r="Q377" i="1"/>
  <c r="AC59" i="2" s="1"/>
  <c r="P377" i="1"/>
  <c r="AC71" i="2" s="1"/>
  <c r="O377" i="1"/>
  <c r="AC35" i="2" s="1"/>
  <c r="N377" i="1"/>
  <c r="AC47" i="2" s="1"/>
  <c r="L377" i="1"/>
  <c r="AC23" i="2" s="1"/>
  <c r="H377" i="1"/>
  <c r="F158" i="2" s="1"/>
  <c r="T376" i="1"/>
  <c r="AC98" i="2" s="1"/>
  <c r="S376" i="1"/>
  <c r="AC84" i="2" s="1"/>
  <c r="Q376" i="1"/>
  <c r="AC58" i="2" s="1"/>
  <c r="P376" i="1"/>
  <c r="AC70" i="2" s="1"/>
  <c r="O376" i="1"/>
  <c r="AC34" i="2" s="1"/>
  <c r="N376" i="1"/>
  <c r="AC46" i="2" s="1"/>
  <c r="L376" i="1"/>
  <c r="AC22" i="2" s="1"/>
  <c r="K376" i="1"/>
  <c r="AC10" i="2" s="1"/>
  <c r="H376" i="1"/>
  <c r="AC112" i="2" s="1"/>
  <c r="T375" i="1"/>
  <c r="AC97" i="2" s="1"/>
  <c r="S375" i="1"/>
  <c r="AC83" i="2" s="1"/>
  <c r="Q375" i="1"/>
  <c r="P375" i="1"/>
  <c r="O375" i="1"/>
  <c r="N375" i="1"/>
  <c r="L375" i="1"/>
  <c r="K375" i="1"/>
  <c r="H375" i="1"/>
  <c r="AC111" i="2" s="1"/>
  <c r="T374" i="1"/>
  <c r="AC96" i="2" s="1"/>
  <c r="S374" i="1"/>
  <c r="AC82" i="2" s="1"/>
  <c r="Q374" i="1"/>
  <c r="P374" i="1"/>
  <c r="O374" i="1"/>
  <c r="N374" i="1"/>
  <c r="L374" i="1"/>
  <c r="K374" i="1"/>
  <c r="H374" i="1"/>
  <c r="AC110" i="2" s="1"/>
  <c r="T373" i="1"/>
  <c r="AC95" i="2" s="1"/>
  <c r="S373" i="1"/>
  <c r="AC81" i="2" s="1"/>
  <c r="Q373" i="1"/>
  <c r="P373" i="1"/>
  <c r="AC69" i="2" s="1"/>
  <c r="O373" i="1"/>
  <c r="N373" i="1"/>
  <c r="L373" i="1"/>
  <c r="H373" i="1"/>
  <c r="G373" i="1"/>
  <c r="AC9" i="2" s="1"/>
  <c r="T372" i="1"/>
  <c r="AC94" i="2" s="1"/>
  <c r="S372" i="1"/>
  <c r="AC80" i="2" s="1"/>
  <c r="Q372" i="1"/>
  <c r="AC56" i="2" s="1"/>
  <c r="P372" i="1"/>
  <c r="AC68" i="2" s="1"/>
  <c r="O372" i="1"/>
  <c r="AC32" i="2" s="1"/>
  <c r="N372" i="1"/>
  <c r="AC44" i="2" s="1"/>
  <c r="L372" i="1"/>
  <c r="AC20" i="2" s="1"/>
  <c r="K372" i="1"/>
  <c r="AC8" i="2" s="1"/>
  <c r="H372" i="1"/>
  <c r="AC108" i="2" s="1"/>
  <c r="T371" i="1"/>
  <c r="AC93" i="2" s="1"/>
  <c r="S371" i="1"/>
  <c r="AC79" i="2" s="1"/>
  <c r="Q371" i="1"/>
  <c r="AC55" i="2" s="1"/>
  <c r="P371" i="1"/>
  <c r="AC67" i="2" s="1"/>
  <c r="O371" i="1"/>
  <c r="AC31" i="2" s="1"/>
  <c r="N371" i="1"/>
  <c r="AC43" i="2" s="1"/>
  <c r="L371" i="1"/>
  <c r="AC19" i="2" s="1"/>
  <c r="K371" i="1"/>
  <c r="AC7" i="2" s="1"/>
  <c r="H371" i="1"/>
  <c r="AC107" i="2" s="1"/>
  <c r="T370" i="1"/>
  <c r="AC92" i="2" s="1"/>
  <c r="S370" i="1"/>
  <c r="AC78" i="2" s="1"/>
  <c r="Q370" i="1"/>
  <c r="AC54" i="2" s="1"/>
  <c r="P370" i="1"/>
  <c r="AC66" i="2" s="1"/>
  <c r="O370" i="1"/>
  <c r="AC30" i="2" s="1"/>
  <c r="N370" i="1"/>
  <c r="AC42" i="2" s="1"/>
  <c r="L370" i="1"/>
  <c r="AC18" i="2" s="1"/>
  <c r="K370" i="1"/>
  <c r="AC6" i="2" s="1"/>
  <c r="H370" i="1"/>
  <c r="AC106" i="2" s="1"/>
  <c r="T369" i="1"/>
  <c r="AC91" i="2" s="1"/>
  <c r="S369" i="1"/>
  <c r="AC77" i="2" s="1"/>
  <c r="Q369" i="1"/>
  <c r="AC53" i="2" s="1"/>
  <c r="P369" i="1"/>
  <c r="AC65" i="2" s="1"/>
  <c r="O369" i="1"/>
  <c r="AC29" i="2" s="1"/>
  <c r="N369" i="1"/>
  <c r="AC41" i="2" s="1"/>
  <c r="L369" i="1"/>
  <c r="AC17" i="2" s="1"/>
  <c r="K369" i="1"/>
  <c r="AC5" i="2" s="1"/>
  <c r="H369" i="1"/>
  <c r="T368" i="1"/>
  <c r="AC90" i="2" s="1"/>
  <c r="S368" i="1"/>
  <c r="AC76" i="2" s="1"/>
  <c r="Q368" i="1"/>
  <c r="AC52" i="2" s="1"/>
  <c r="P368" i="1"/>
  <c r="AC64" i="2" s="1"/>
  <c r="O368" i="1"/>
  <c r="AC28" i="2" s="1"/>
  <c r="N368" i="1"/>
  <c r="AC40" i="2" s="1"/>
  <c r="L368" i="1"/>
  <c r="AC16" i="2" s="1"/>
  <c r="K368" i="1"/>
  <c r="AC4" i="2" s="1"/>
  <c r="H368" i="1"/>
  <c r="AC104" i="2" s="1"/>
  <c r="T367" i="1"/>
  <c r="AC89" i="2" s="1"/>
  <c r="S367" i="1"/>
  <c r="AC75" i="2" s="1"/>
  <c r="Q367" i="1"/>
  <c r="AC51" i="2" s="1"/>
  <c r="P367" i="1"/>
  <c r="AC63" i="2" s="1"/>
  <c r="O367" i="1"/>
  <c r="AC27" i="2" s="1"/>
  <c r="N367" i="1"/>
  <c r="AC39" i="2" s="1"/>
  <c r="L367" i="1"/>
  <c r="AC15" i="2" s="1"/>
  <c r="K367" i="1"/>
  <c r="AC3" i="2" s="1"/>
  <c r="H367" i="1"/>
  <c r="AC103" i="2" s="1"/>
  <c r="W364" i="1"/>
  <c r="V364" i="1"/>
  <c r="T364" i="1"/>
  <c r="AB100" i="2" s="1"/>
  <c r="S364" i="1"/>
  <c r="AB86" i="2" s="1"/>
  <c r="Q364" i="1"/>
  <c r="AB60" i="2" s="1"/>
  <c r="P364" i="1"/>
  <c r="AB72" i="2" s="1"/>
  <c r="O364" i="1"/>
  <c r="AB36" i="2" s="1"/>
  <c r="N364" i="1"/>
  <c r="AB48" i="2" s="1"/>
  <c r="L364" i="1"/>
  <c r="K364" i="1"/>
  <c r="AB12" i="2" s="1"/>
  <c r="H364" i="1"/>
  <c r="R364" i="1" s="1"/>
  <c r="W363" i="1"/>
  <c r="V363" i="1"/>
  <c r="T363" i="1"/>
  <c r="AB99" i="2" s="1"/>
  <c r="S363" i="1"/>
  <c r="AB85" i="2" s="1"/>
  <c r="Q363" i="1"/>
  <c r="AB59" i="2" s="1"/>
  <c r="P363" i="1"/>
  <c r="AB71" i="2" s="1"/>
  <c r="O363" i="1"/>
  <c r="AB35" i="2" s="1"/>
  <c r="N363" i="1"/>
  <c r="AB47" i="2" s="1"/>
  <c r="L363" i="1"/>
  <c r="H363" i="1"/>
  <c r="F156" i="2" s="1"/>
  <c r="F157" i="2" s="1"/>
  <c r="W362" i="1"/>
  <c r="V362" i="1"/>
  <c r="T362" i="1"/>
  <c r="AB98" i="2" s="1"/>
  <c r="S362" i="1"/>
  <c r="AB84" i="2" s="1"/>
  <c r="Q362" i="1"/>
  <c r="AB58" i="2" s="1"/>
  <c r="P362" i="1"/>
  <c r="AB70" i="2" s="1"/>
  <c r="O362" i="1"/>
  <c r="AB34" i="2" s="1"/>
  <c r="N362" i="1"/>
  <c r="AB46" i="2" s="1"/>
  <c r="L362" i="1"/>
  <c r="K362" i="1"/>
  <c r="AB10" i="2" s="1"/>
  <c r="H362" i="1"/>
  <c r="AB112" i="2" s="1"/>
  <c r="W361" i="1"/>
  <c r="V361" i="1"/>
  <c r="T361" i="1"/>
  <c r="AB97" i="2" s="1"/>
  <c r="S361" i="1"/>
  <c r="AB83" i="2" s="1"/>
  <c r="Q361" i="1"/>
  <c r="P361" i="1"/>
  <c r="O361" i="1"/>
  <c r="N361" i="1"/>
  <c r="L361" i="1"/>
  <c r="K361" i="1"/>
  <c r="H361" i="1"/>
  <c r="AB111" i="2" s="1"/>
  <c r="W360" i="1"/>
  <c r="V360" i="1"/>
  <c r="T360" i="1"/>
  <c r="AB96" i="2" s="1"/>
  <c r="S360" i="1"/>
  <c r="AB82" i="2" s="1"/>
  <c r="Q360" i="1"/>
  <c r="P360" i="1"/>
  <c r="O360" i="1"/>
  <c r="N360" i="1"/>
  <c r="L360" i="1"/>
  <c r="K360" i="1"/>
  <c r="H360" i="1"/>
  <c r="AB110" i="2" s="1"/>
  <c r="W359" i="1"/>
  <c r="V359" i="1"/>
  <c r="T359" i="1"/>
  <c r="AB95" i="2" s="1"/>
  <c r="S359" i="1"/>
  <c r="AB81" i="2" s="1"/>
  <c r="Q359" i="1"/>
  <c r="P359" i="1"/>
  <c r="AB69" i="2" s="1"/>
  <c r="O359" i="1"/>
  <c r="N359" i="1"/>
  <c r="L359" i="1"/>
  <c r="H359" i="1"/>
  <c r="G359" i="1"/>
  <c r="AB9" i="2" s="1"/>
  <c r="W358" i="1"/>
  <c r="V358" i="1"/>
  <c r="T358" i="1"/>
  <c r="AB94" i="2" s="1"/>
  <c r="S358" i="1"/>
  <c r="AB80" i="2" s="1"/>
  <c r="Q358" i="1"/>
  <c r="AB56" i="2" s="1"/>
  <c r="P358" i="1"/>
  <c r="AB68" i="2" s="1"/>
  <c r="O358" i="1"/>
  <c r="AB32" i="2" s="1"/>
  <c r="N358" i="1"/>
  <c r="AB44" i="2" s="1"/>
  <c r="L358" i="1"/>
  <c r="K358" i="1"/>
  <c r="AB8" i="2" s="1"/>
  <c r="H358" i="1"/>
  <c r="AB108" i="2" s="1"/>
  <c r="W357" i="1"/>
  <c r="V357" i="1"/>
  <c r="T357" i="1"/>
  <c r="AB93" i="2" s="1"/>
  <c r="S357" i="1"/>
  <c r="AB79" i="2" s="1"/>
  <c r="Q357" i="1"/>
  <c r="AB55" i="2" s="1"/>
  <c r="P357" i="1"/>
  <c r="AB67" i="2" s="1"/>
  <c r="O357" i="1"/>
  <c r="AB31" i="2" s="1"/>
  <c r="N357" i="1"/>
  <c r="AB43" i="2" s="1"/>
  <c r="L357" i="1"/>
  <c r="K357" i="1"/>
  <c r="AB7" i="2" s="1"/>
  <c r="H357" i="1"/>
  <c r="AB107" i="2" s="1"/>
  <c r="W356" i="1"/>
  <c r="V356" i="1"/>
  <c r="T356" i="1"/>
  <c r="AB92" i="2" s="1"/>
  <c r="S356" i="1"/>
  <c r="AB78" i="2" s="1"/>
  <c r="Q356" i="1"/>
  <c r="AB54" i="2" s="1"/>
  <c r="P356" i="1"/>
  <c r="AB66" i="2" s="1"/>
  <c r="O356" i="1"/>
  <c r="AB30" i="2" s="1"/>
  <c r="N356" i="1"/>
  <c r="AB42" i="2" s="1"/>
  <c r="L356" i="1"/>
  <c r="K356" i="1"/>
  <c r="AB6" i="2" s="1"/>
  <c r="H356" i="1"/>
  <c r="AB106" i="2" s="1"/>
  <c r="W355" i="1"/>
  <c r="V355" i="1"/>
  <c r="T355" i="1"/>
  <c r="AB91" i="2" s="1"/>
  <c r="S355" i="1"/>
  <c r="AB77" i="2" s="1"/>
  <c r="Q355" i="1"/>
  <c r="AB53" i="2" s="1"/>
  <c r="P355" i="1"/>
  <c r="AB65" i="2" s="1"/>
  <c r="O355" i="1"/>
  <c r="AB29" i="2" s="1"/>
  <c r="N355" i="1"/>
  <c r="AB41" i="2" s="1"/>
  <c r="L355" i="1"/>
  <c r="K355" i="1"/>
  <c r="AB5" i="2" s="1"/>
  <c r="H355" i="1"/>
  <c r="W354" i="1"/>
  <c r="V354" i="1"/>
  <c r="T354" i="1"/>
  <c r="AB90" i="2" s="1"/>
  <c r="S354" i="1"/>
  <c r="AB76" i="2" s="1"/>
  <c r="Q354" i="1"/>
  <c r="AB52" i="2" s="1"/>
  <c r="P354" i="1"/>
  <c r="AB64" i="2" s="1"/>
  <c r="O354" i="1"/>
  <c r="AB28" i="2" s="1"/>
  <c r="N354" i="1"/>
  <c r="AB40" i="2" s="1"/>
  <c r="L354" i="1"/>
  <c r="K354" i="1"/>
  <c r="AB4" i="2" s="1"/>
  <c r="H354" i="1"/>
  <c r="AB104" i="2" s="1"/>
  <c r="W353" i="1"/>
  <c r="V353" i="1"/>
  <c r="T353" i="1"/>
  <c r="AB89" i="2" s="1"/>
  <c r="S353" i="1"/>
  <c r="AB75" i="2" s="1"/>
  <c r="Q353" i="1"/>
  <c r="AB51" i="2" s="1"/>
  <c r="P353" i="1"/>
  <c r="AB63" i="2" s="1"/>
  <c r="O353" i="1"/>
  <c r="AB27" i="2" s="1"/>
  <c r="N353" i="1"/>
  <c r="AB39" i="2" s="1"/>
  <c r="L353" i="1"/>
  <c r="K353" i="1"/>
  <c r="AB3" i="2" s="1"/>
  <c r="H353" i="1"/>
  <c r="AB103" i="2" s="1"/>
  <c r="T350" i="1"/>
  <c r="AA100" i="2" s="1"/>
  <c r="S350" i="1"/>
  <c r="AA86" i="2" s="1"/>
  <c r="Q350" i="1"/>
  <c r="AA60" i="2" s="1"/>
  <c r="P350" i="1"/>
  <c r="AA72" i="2" s="1"/>
  <c r="O350" i="1"/>
  <c r="AA36" i="2" s="1"/>
  <c r="N350" i="1"/>
  <c r="AA48" i="2" s="1"/>
  <c r="L350" i="1"/>
  <c r="AA24" i="2" s="1"/>
  <c r="K350" i="1"/>
  <c r="AA12" i="2" s="1"/>
  <c r="H350" i="1"/>
  <c r="R350" i="1" s="1"/>
  <c r="T349" i="1"/>
  <c r="AA99" i="2" s="1"/>
  <c r="S349" i="1"/>
  <c r="AA85" i="2" s="1"/>
  <c r="Q349" i="1"/>
  <c r="AA59" i="2" s="1"/>
  <c r="P349" i="1"/>
  <c r="AA71" i="2" s="1"/>
  <c r="O349" i="1"/>
  <c r="AA35" i="2" s="1"/>
  <c r="N349" i="1"/>
  <c r="AA47" i="2" s="1"/>
  <c r="L349" i="1"/>
  <c r="AA23" i="2" s="1"/>
  <c r="H349" i="1"/>
  <c r="F155" i="2" s="1"/>
  <c r="T348" i="1"/>
  <c r="AA98" i="2" s="1"/>
  <c r="S348" i="1"/>
  <c r="AA84" i="2" s="1"/>
  <c r="Q348" i="1"/>
  <c r="AA58" i="2" s="1"/>
  <c r="P348" i="1"/>
  <c r="AA70" i="2" s="1"/>
  <c r="O348" i="1"/>
  <c r="AA34" i="2" s="1"/>
  <c r="N348" i="1"/>
  <c r="AA46" i="2" s="1"/>
  <c r="L348" i="1"/>
  <c r="AA22" i="2" s="1"/>
  <c r="K348" i="1"/>
  <c r="AA10" i="2" s="1"/>
  <c r="H348" i="1"/>
  <c r="AA112" i="2" s="1"/>
  <c r="T347" i="1"/>
  <c r="AA97" i="2" s="1"/>
  <c r="S347" i="1"/>
  <c r="AA83" i="2" s="1"/>
  <c r="Q347" i="1"/>
  <c r="P347" i="1"/>
  <c r="O347" i="1"/>
  <c r="N347" i="1"/>
  <c r="L347" i="1"/>
  <c r="K347" i="1"/>
  <c r="H347" i="1"/>
  <c r="AA111" i="2" s="1"/>
  <c r="T346" i="1"/>
  <c r="AA96" i="2" s="1"/>
  <c r="S346" i="1"/>
  <c r="AA82" i="2" s="1"/>
  <c r="Q346" i="1"/>
  <c r="P346" i="1"/>
  <c r="O346" i="1"/>
  <c r="N346" i="1"/>
  <c r="L346" i="1"/>
  <c r="K346" i="1"/>
  <c r="H346" i="1"/>
  <c r="AA110" i="2" s="1"/>
  <c r="T345" i="1"/>
  <c r="AA95" i="2" s="1"/>
  <c r="S345" i="1"/>
  <c r="AA81" i="2" s="1"/>
  <c r="Q345" i="1"/>
  <c r="P345" i="1"/>
  <c r="AA69" i="2" s="1"/>
  <c r="O345" i="1"/>
  <c r="N345" i="1"/>
  <c r="L345" i="1"/>
  <c r="H345" i="1"/>
  <c r="G345" i="1"/>
  <c r="AA9" i="2" s="1"/>
  <c r="T344" i="1"/>
  <c r="AA94" i="2" s="1"/>
  <c r="S344" i="1"/>
  <c r="AA80" i="2" s="1"/>
  <c r="Q344" i="1"/>
  <c r="AA56" i="2" s="1"/>
  <c r="P344" i="1"/>
  <c r="AA68" i="2" s="1"/>
  <c r="O344" i="1"/>
  <c r="AA32" i="2" s="1"/>
  <c r="N344" i="1"/>
  <c r="AA44" i="2" s="1"/>
  <c r="L344" i="1"/>
  <c r="AA20" i="2" s="1"/>
  <c r="K344" i="1"/>
  <c r="AA8" i="2" s="1"/>
  <c r="H344" i="1"/>
  <c r="AA108" i="2" s="1"/>
  <c r="T343" i="1"/>
  <c r="AA93" i="2" s="1"/>
  <c r="S343" i="1"/>
  <c r="AA79" i="2" s="1"/>
  <c r="Q343" i="1"/>
  <c r="AA55" i="2" s="1"/>
  <c r="P343" i="1"/>
  <c r="AA67" i="2" s="1"/>
  <c r="O343" i="1"/>
  <c r="AA31" i="2" s="1"/>
  <c r="N343" i="1"/>
  <c r="AA43" i="2" s="1"/>
  <c r="L343" i="1"/>
  <c r="AA19" i="2" s="1"/>
  <c r="K343" i="1"/>
  <c r="AA7" i="2" s="1"/>
  <c r="H343" i="1"/>
  <c r="AA107" i="2" s="1"/>
  <c r="T342" i="1"/>
  <c r="AA92" i="2" s="1"/>
  <c r="S342" i="1"/>
  <c r="AA78" i="2" s="1"/>
  <c r="Q342" i="1"/>
  <c r="AA54" i="2" s="1"/>
  <c r="P342" i="1"/>
  <c r="AA66" i="2" s="1"/>
  <c r="O342" i="1"/>
  <c r="AA30" i="2" s="1"/>
  <c r="N342" i="1"/>
  <c r="AA42" i="2" s="1"/>
  <c r="L342" i="1"/>
  <c r="AA18" i="2" s="1"/>
  <c r="K342" i="1"/>
  <c r="AA6" i="2" s="1"/>
  <c r="H342" i="1"/>
  <c r="AA106" i="2" s="1"/>
  <c r="T341" i="1"/>
  <c r="AA91" i="2" s="1"/>
  <c r="S341" i="1"/>
  <c r="AA77" i="2" s="1"/>
  <c r="Q341" i="1"/>
  <c r="AA53" i="2" s="1"/>
  <c r="P341" i="1"/>
  <c r="AA65" i="2" s="1"/>
  <c r="O341" i="1"/>
  <c r="AA29" i="2" s="1"/>
  <c r="N341" i="1"/>
  <c r="AA41" i="2" s="1"/>
  <c r="L341" i="1"/>
  <c r="AA17" i="2" s="1"/>
  <c r="K341" i="1"/>
  <c r="AA5" i="2" s="1"/>
  <c r="H341" i="1"/>
  <c r="T340" i="1"/>
  <c r="AA90" i="2" s="1"/>
  <c r="S340" i="1"/>
  <c r="AA76" i="2" s="1"/>
  <c r="Q340" i="1"/>
  <c r="AA52" i="2" s="1"/>
  <c r="P340" i="1"/>
  <c r="AA64" i="2" s="1"/>
  <c r="O340" i="1"/>
  <c r="AA28" i="2" s="1"/>
  <c r="N340" i="1"/>
  <c r="AA40" i="2" s="1"/>
  <c r="L340" i="1"/>
  <c r="AA16" i="2" s="1"/>
  <c r="K340" i="1"/>
  <c r="AA4" i="2" s="1"/>
  <c r="H340" i="1"/>
  <c r="AA104" i="2" s="1"/>
  <c r="T339" i="1"/>
  <c r="AA89" i="2" s="1"/>
  <c r="S339" i="1"/>
  <c r="AA75" i="2" s="1"/>
  <c r="Q339" i="1"/>
  <c r="AA51" i="2" s="1"/>
  <c r="P339" i="1"/>
  <c r="AA63" i="2" s="1"/>
  <c r="O339" i="1"/>
  <c r="AA27" i="2" s="1"/>
  <c r="N339" i="1"/>
  <c r="AA39" i="2" s="1"/>
  <c r="L339" i="1"/>
  <c r="AA15" i="2" s="1"/>
  <c r="K339" i="1"/>
  <c r="AA3" i="2" s="1"/>
  <c r="H339" i="1"/>
  <c r="AA103" i="2" s="1"/>
  <c r="T336" i="1"/>
  <c r="Z100" i="2" s="1"/>
  <c r="S336" i="1"/>
  <c r="Z86" i="2" s="1"/>
  <c r="Q336" i="1"/>
  <c r="Z60" i="2" s="1"/>
  <c r="P336" i="1"/>
  <c r="Z72" i="2" s="1"/>
  <c r="O336" i="1"/>
  <c r="Z36" i="2" s="1"/>
  <c r="N336" i="1"/>
  <c r="Z48" i="2" s="1"/>
  <c r="L336" i="1"/>
  <c r="K336" i="1"/>
  <c r="Z12" i="2" s="1"/>
  <c r="H336" i="1"/>
  <c r="R336" i="1" s="1"/>
  <c r="T335" i="1"/>
  <c r="Z99" i="2" s="1"/>
  <c r="S335" i="1"/>
  <c r="Z85" i="2" s="1"/>
  <c r="Q335" i="1"/>
  <c r="Z59" i="2" s="1"/>
  <c r="P335" i="1"/>
  <c r="Z71" i="2" s="1"/>
  <c r="O335" i="1"/>
  <c r="Z35" i="2" s="1"/>
  <c r="N335" i="1"/>
  <c r="Z47" i="2" s="1"/>
  <c r="L335" i="1"/>
  <c r="H335" i="1"/>
  <c r="F154" i="2" s="1"/>
  <c r="T334" i="1"/>
  <c r="Z98" i="2" s="1"/>
  <c r="S334" i="1"/>
  <c r="Z84" i="2" s="1"/>
  <c r="Q334" i="1"/>
  <c r="Z58" i="2" s="1"/>
  <c r="P334" i="1"/>
  <c r="Z70" i="2" s="1"/>
  <c r="O334" i="1"/>
  <c r="Z34" i="2" s="1"/>
  <c r="N334" i="1"/>
  <c r="Z46" i="2" s="1"/>
  <c r="L334" i="1"/>
  <c r="K334" i="1"/>
  <c r="Z10" i="2" s="1"/>
  <c r="H334" i="1"/>
  <c r="Z112" i="2" s="1"/>
  <c r="T333" i="1"/>
  <c r="Z97" i="2" s="1"/>
  <c r="S333" i="1"/>
  <c r="Z83" i="2" s="1"/>
  <c r="Q333" i="1"/>
  <c r="P333" i="1"/>
  <c r="O333" i="1"/>
  <c r="N333" i="1"/>
  <c r="L333" i="1"/>
  <c r="K333" i="1"/>
  <c r="H333" i="1"/>
  <c r="Z111" i="2" s="1"/>
  <c r="T332" i="1"/>
  <c r="Z96" i="2" s="1"/>
  <c r="S332" i="1"/>
  <c r="Z82" i="2" s="1"/>
  <c r="Q332" i="1"/>
  <c r="P332" i="1"/>
  <c r="O332" i="1"/>
  <c r="N332" i="1"/>
  <c r="L332" i="1"/>
  <c r="K332" i="1"/>
  <c r="H332" i="1"/>
  <c r="Z110" i="2" s="1"/>
  <c r="T331" i="1"/>
  <c r="Z95" i="2" s="1"/>
  <c r="S331" i="1"/>
  <c r="Z81" i="2" s="1"/>
  <c r="Q331" i="1"/>
  <c r="P331" i="1"/>
  <c r="Z69" i="2" s="1"/>
  <c r="O331" i="1"/>
  <c r="N331" i="1"/>
  <c r="L331" i="1"/>
  <c r="H331" i="1"/>
  <c r="G331" i="1"/>
  <c r="Z9" i="2" s="1"/>
  <c r="T330" i="1"/>
  <c r="Z94" i="2" s="1"/>
  <c r="S330" i="1"/>
  <c r="Z80" i="2" s="1"/>
  <c r="Q330" i="1"/>
  <c r="Z56" i="2" s="1"/>
  <c r="P330" i="1"/>
  <c r="Z68" i="2" s="1"/>
  <c r="O330" i="1"/>
  <c r="Z32" i="2" s="1"/>
  <c r="N330" i="1"/>
  <c r="Z44" i="2" s="1"/>
  <c r="L330" i="1"/>
  <c r="K330" i="1"/>
  <c r="Z8" i="2" s="1"/>
  <c r="H330" i="1"/>
  <c r="Z108" i="2" s="1"/>
  <c r="T329" i="1"/>
  <c r="Z93" i="2" s="1"/>
  <c r="S329" i="1"/>
  <c r="Z79" i="2" s="1"/>
  <c r="Q329" i="1"/>
  <c r="Z55" i="2" s="1"/>
  <c r="P329" i="1"/>
  <c r="Z67" i="2" s="1"/>
  <c r="O329" i="1"/>
  <c r="Z31" i="2" s="1"/>
  <c r="N329" i="1"/>
  <c r="Z43" i="2" s="1"/>
  <c r="L329" i="1"/>
  <c r="K329" i="1"/>
  <c r="Z7" i="2" s="1"/>
  <c r="H329" i="1"/>
  <c r="Z107" i="2" s="1"/>
  <c r="T328" i="1"/>
  <c r="Z92" i="2" s="1"/>
  <c r="S328" i="1"/>
  <c r="Z78" i="2" s="1"/>
  <c r="Q328" i="1"/>
  <c r="Z54" i="2" s="1"/>
  <c r="P328" i="1"/>
  <c r="Z66" i="2" s="1"/>
  <c r="O328" i="1"/>
  <c r="Z30" i="2" s="1"/>
  <c r="N328" i="1"/>
  <c r="Z42" i="2" s="1"/>
  <c r="L328" i="1"/>
  <c r="K328" i="1"/>
  <c r="Z6" i="2" s="1"/>
  <c r="H328" i="1"/>
  <c r="Z106" i="2" s="1"/>
  <c r="T327" i="1"/>
  <c r="Z91" i="2" s="1"/>
  <c r="S327" i="1"/>
  <c r="Z77" i="2" s="1"/>
  <c r="Q327" i="1"/>
  <c r="Z53" i="2" s="1"/>
  <c r="P327" i="1"/>
  <c r="Z65" i="2" s="1"/>
  <c r="O327" i="1"/>
  <c r="Z29" i="2" s="1"/>
  <c r="N327" i="1"/>
  <c r="Z41" i="2" s="1"/>
  <c r="L327" i="1"/>
  <c r="K327" i="1"/>
  <c r="Z5" i="2" s="1"/>
  <c r="H327" i="1"/>
  <c r="T326" i="1"/>
  <c r="Z90" i="2" s="1"/>
  <c r="S326" i="1"/>
  <c r="Z76" i="2" s="1"/>
  <c r="Q326" i="1"/>
  <c r="Z52" i="2" s="1"/>
  <c r="P326" i="1"/>
  <c r="Z64" i="2" s="1"/>
  <c r="O326" i="1"/>
  <c r="Z28" i="2" s="1"/>
  <c r="N326" i="1"/>
  <c r="Z40" i="2" s="1"/>
  <c r="L326" i="1"/>
  <c r="K326" i="1"/>
  <c r="Z4" i="2" s="1"/>
  <c r="H326" i="1"/>
  <c r="Z104" i="2" s="1"/>
  <c r="T325" i="1"/>
  <c r="Z89" i="2" s="1"/>
  <c r="S325" i="1"/>
  <c r="Z75" i="2" s="1"/>
  <c r="Q325" i="1"/>
  <c r="Z51" i="2" s="1"/>
  <c r="P325" i="1"/>
  <c r="Z63" i="2" s="1"/>
  <c r="O325" i="1"/>
  <c r="Z27" i="2" s="1"/>
  <c r="N325" i="1"/>
  <c r="Z39" i="2" s="1"/>
  <c r="L325" i="1"/>
  <c r="K325" i="1"/>
  <c r="Z3" i="2" s="1"/>
  <c r="H325" i="1"/>
  <c r="Z103" i="2" s="1"/>
  <c r="T322" i="1"/>
  <c r="Y100" i="2" s="1"/>
  <c r="S322" i="1"/>
  <c r="Y86" i="2" s="1"/>
  <c r="Q322" i="1"/>
  <c r="Y60" i="2" s="1"/>
  <c r="P322" i="1"/>
  <c r="Y72" i="2" s="1"/>
  <c r="O322" i="1"/>
  <c r="Y36" i="2" s="1"/>
  <c r="N322" i="1"/>
  <c r="Y48" i="2" s="1"/>
  <c r="L322" i="1"/>
  <c r="Y24" i="2" s="1"/>
  <c r="K322" i="1"/>
  <c r="Y12" i="2" s="1"/>
  <c r="H322" i="1"/>
  <c r="R322" i="1" s="1"/>
  <c r="T321" i="1"/>
  <c r="Y99" i="2" s="1"/>
  <c r="S321" i="1"/>
  <c r="Y85" i="2" s="1"/>
  <c r="Q321" i="1"/>
  <c r="Y59" i="2" s="1"/>
  <c r="P321" i="1"/>
  <c r="Y71" i="2" s="1"/>
  <c r="O321" i="1"/>
  <c r="Y35" i="2" s="1"/>
  <c r="N321" i="1"/>
  <c r="Y47" i="2" s="1"/>
  <c r="L321" i="1"/>
  <c r="Y23" i="2" s="1"/>
  <c r="H321" i="1"/>
  <c r="F153" i="2" s="1"/>
  <c r="T320" i="1"/>
  <c r="Y98" i="2" s="1"/>
  <c r="S320" i="1"/>
  <c r="Y84" i="2" s="1"/>
  <c r="Q320" i="1"/>
  <c r="Y58" i="2" s="1"/>
  <c r="P320" i="1"/>
  <c r="Y70" i="2" s="1"/>
  <c r="O320" i="1"/>
  <c r="Y34" i="2" s="1"/>
  <c r="N320" i="1"/>
  <c r="Y46" i="2" s="1"/>
  <c r="L320" i="1"/>
  <c r="Y22" i="2" s="1"/>
  <c r="K320" i="1"/>
  <c r="Y10" i="2" s="1"/>
  <c r="H320" i="1"/>
  <c r="Y112" i="2" s="1"/>
  <c r="T319" i="1"/>
  <c r="Y97" i="2" s="1"/>
  <c r="S319" i="1"/>
  <c r="Y83" i="2" s="1"/>
  <c r="Q319" i="1"/>
  <c r="P319" i="1"/>
  <c r="O319" i="1"/>
  <c r="N319" i="1"/>
  <c r="L319" i="1"/>
  <c r="K319" i="1"/>
  <c r="H319" i="1"/>
  <c r="Y111" i="2" s="1"/>
  <c r="T318" i="1"/>
  <c r="Y96" i="2" s="1"/>
  <c r="S318" i="1"/>
  <c r="Y82" i="2" s="1"/>
  <c r="Q318" i="1"/>
  <c r="P318" i="1"/>
  <c r="O318" i="1"/>
  <c r="N318" i="1"/>
  <c r="L318" i="1"/>
  <c r="K318" i="1"/>
  <c r="H318" i="1"/>
  <c r="Y110" i="2" s="1"/>
  <c r="T317" i="1"/>
  <c r="Y95" i="2" s="1"/>
  <c r="S317" i="1"/>
  <c r="Y81" i="2" s="1"/>
  <c r="Q317" i="1"/>
  <c r="P317" i="1"/>
  <c r="Y69" i="2" s="1"/>
  <c r="O317" i="1"/>
  <c r="N317" i="1"/>
  <c r="L317" i="1"/>
  <c r="H317" i="1"/>
  <c r="G317" i="1"/>
  <c r="Y9" i="2" s="1"/>
  <c r="T316" i="1"/>
  <c r="Y94" i="2" s="1"/>
  <c r="S316" i="1"/>
  <c r="Y80" i="2" s="1"/>
  <c r="Q316" i="1"/>
  <c r="Y56" i="2" s="1"/>
  <c r="P316" i="1"/>
  <c r="Y68" i="2" s="1"/>
  <c r="O316" i="1"/>
  <c r="Y32" i="2" s="1"/>
  <c r="N316" i="1"/>
  <c r="Y44" i="2" s="1"/>
  <c r="L316" i="1"/>
  <c r="Y20" i="2" s="1"/>
  <c r="K316" i="1"/>
  <c r="Y8" i="2" s="1"/>
  <c r="H316" i="1"/>
  <c r="Y108" i="2" s="1"/>
  <c r="T315" i="1"/>
  <c r="Y93" i="2" s="1"/>
  <c r="S315" i="1"/>
  <c r="Y79" i="2" s="1"/>
  <c r="Q315" i="1"/>
  <c r="Y55" i="2" s="1"/>
  <c r="P315" i="1"/>
  <c r="Y67" i="2" s="1"/>
  <c r="O315" i="1"/>
  <c r="Y31" i="2" s="1"/>
  <c r="N315" i="1"/>
  <c r="Y43" i="2" s="1"/>
  <c r="L315" i="1"/>
  <c r="Y19" i="2" s="1"/>
  <c r="K315" i="1"/>
  <c r="Y7" i="2" s="1"/>
  <c r="H315" i="1"/>
  <c r="Y107" i="2" s="1"/>
  <c r="T314" i="1"/>
  <c r="Y92" i="2" s="1"/>
  <c r="S314" i="1"/>
  <c r="Y78" i="2" s="1"/>
  <c r="Q314" i="1"/>
  <c r="Y54" i="2" s="1"/>
  <c r="P314" i="1"/>
  <c r="Y66" i="2" s="1"/>
  <c r="O314" i="1"/>
  <c r="Y30" i="2" s="1"/>
  <c r="N314" i="1"/>
  <c r="Y42" i="2" s="1"/>
  <c r="L314" i="1"/>
  <c r="Y18" i="2" s="1"/>
  <c r="K314" i="1"/>
  <c r="Y6" i="2" s="1"/>
  <c r="H314" i="1"/>
  <c r="Y106" i="2" s="1"/>
  <c r="T313" i="1"/>
  <c r="Y91" i="2" s="1"/>
  <c r="S313" i="1"/>
  <c r="Y77" i="2" s="1"/>
  <c r="Q313" i="1"/>
  <c r="Y53" i="2" s="1"/>
  <c r="P313" i="1"/>
  <c r="Y65" i="2" s="1"/>
  <c r="O313" i="1"/>
  <c r="Y29" i="2" s="1"/>
  <c r="N313" i="1"/>
  <c r="Y41" i="2" s="1"/>
  <c r="L313" i="1"/>
  <c r="Y17" i="2" s="1"/>
  <c r="K313" i="1"/>
  <c r="Y5" i="2" s="1"/>
  <c r="H313" i="1"/>
  <c r="T312" i="1"/>
  <c r="Y90" i="2" s="1"/>
  <c r="S312" i="1"/>
  <c r="Y76" i="2" s="1"/>
  <c r="Q312" i="1"/>
  <c r="Y52" i="2" s="1"/>
  <c r="P312" i="1"/>
  <c r="Y64" i="2" s="1"/>
  <c r="O312" i="1"/>
  <c r="Y28" i="2" s="1"/>
  <c r="N312" i="1"/>
  <c r="Y40" i="2" s="1"/>
  <c r="L312" i="1"/>
  <c r="Y16" i="2" s="1"/>
  <c r="K312" i="1"/>
  <c r="Y4" i="2" s="1"/>
  <c r="H312" i="1"/>
  <c r="Y104" i="2" s="1"/>
  <c r="T311" i="1"/>
  <c r="Y89" i="2" s="1"/>
  <c r="S311" i="1"/>
  <c r="Y75" i="2" s="1"/>
  <c r="Q311" i="1"/>
  <c r="Y51" i="2" s="1"/>
  <c r="P311" i="1"/>
  <c r="Y63" i="2" s="1"/>
  <c r="O311" i="1"/>
  <c r="Y27" i="2" s="1"/>
  <c r="N311" i="1"/>
  <c r="Y39" i="2" s="1"/>
  <c r="L311" i="1"/>
  <c r="Y15" i="2" s="1"/>
  <c r="K311" i="1"/>
  <c r="Y3" i="2" s="1"/>
  <c r="H311" i="1"/>
  <c r="Y103" i="2" s="1"/>
  <c r="T308" i="1"/>
  <c r="X100" i="2" s="1"/>
  <c r="S308" i="1"/>
  <c r="X86" i="2" s="1"/>
  <c r="Q308" i="1"/>
  <c r="X60" i="2" s="1"/>
  <c r="P308" i="1"/>
  <c r="X72" i="2" s="1"/>
  <c r="O308" i="1"/>
  <c r="X36" i="2" s="1"/>
  <c r="N308" i="1"/>
  <c r="X48" i="2" s="1"/>
  <c r="L308" i="1"/>
  <c r="X24" i="2" s="1"/>
  <c r="K308" i="1"/>
  <c r="X12" i="2" s="1"/>
  <c r="H308" i="1"/>
  <c r="R308" i="1" s="1"/>
  <c r="T307" i="1"/>
  <c r="X99" i="2" s="1"/>
  <c r="S307" i="1"/>
  <c r="X85" i="2" s="1"/>
  <c r="Q307" i="1"/>
  <c r="X59" i="2" s="1"/>
  <c r="P307" i="1"/>
  <c r="X71" i="2" s="1"/>
  <c r="O307" i="1"/>
  <c r="X35" i="2" s="1"/>
  <c r="N307" i="1"/>
  <c r="X47" i="2" s="1"/>
  <c r="L307" i="1"/>
  <c r="X23" i="2" s="1"/>
  <c r="H307" i="1"/>
  <c r="F152" i="2" s="1"/>
  <c r="T306" i="1"/>
  <c r="X98" i="2" s="1"/>
  <c r="S306" i="1"/>
  <c r="X84" i="2" s="1"/>
  <c r="Q306" i="1"/>
  <c r="X58" i="2" s="1"/>
  <c r="P306" i="1"/>
  <c r="X70" i="2" s="1"/>
  <c r="O306" i="1"/>
  <c r="X34" i="2" s="1"/>
  <c r="N306" i="1"/>
  <c r="X46" i="2" s="1"/>
  <c r="L306" i="1"/>
  <c r="X22" i="2" s="1"/>
  <c r="K306" i="1"/>
  <c r="X10" i="2" s="1"/>
  <c r="H306" i="1"/>
  <c r="X112" i="2" s="1"/>
  <c r="T305" i="1"/>
  <c r="X97" i="2" s="1"/>
  <c r="S305" i="1"/>
  <c r="X83" i="2" s="1"/>
  <c r="Q305" i="1"/>
  <c r="P305" i="1"/>
  <c r="O305" i="1"/>
  <c r="N305" i="1"/>
  <c r="L305" i="1"/>
  <c r="K305" i="1"/>
  <c r="H305" i="1"/>
  <c r="X111" i="2" s="1"/>
  <c r="T304" i="1"/>
  <c r="X96" i="2" s="1"/>
  <c r="S304" i="1"/>
  <c r="X82" i="2" s="1"/>
  <c r="Q304" i="1"/>
  <c r="P304" i="1"/>
  <c r="O304" i="1"/>
  <c r="N304" i="1"/>
  <c r="L304" i="1"/>
  <c r="K304" i="1"/>
  <c r="H304" i="1"/>
  <c r="X110" i="2" s="1"/>
  <c r="T303" i="1"/>
  <c r="X95" i="2" s="1"/>
  <c r="S303" i="1"/>
  <c r="X81" i="2" s="1"/>
  <c r="Q303" i="1"/>
  <c r="P303" i="1"/>
  <c r="X69" i="2" s="1"/>
  <c r="O303" i="1"/>
  <c r="N303" i="1"/>
  <c r="L303" i="1"/>
  <c r="H303" i="1"/>
  <c r="G303" i="1"/>
  <c r="X9" i="2" s="1"/>
  <c r="T302" i="1"/>
  <c r="X94" i="2" s="1"/>
  <c r="S302" i="1"/>
  <c r="X80" i="2" s="1"/>
  <c r="Q302" i="1"/>
  <c r="X56" i="2" s="1"/>
  <c r="P302" i="1"/>
  <c r="X68" i="2" s="1"/>
  <c r="O302" i="1"/>
  <c r="X32" i="2" s="1"/>
  <c r="N302" i="1"/>
  <c r="X44" i="2" s="1"/>
  <c r="L302" i="1"/>
  <c r="X20" i="2" s="1"/>
  <c r="K302" i="1"/>
  <c r="X8" i="2" s="1"/>
  <c r="H302" i="1"/>
  <c r="X108" i="2" s="1"/>
  <c r="T301" i="1"/>
  <c r="X93" i="2" s="1"/>
  <c r="S301" i="1"/>
  <c r="X79" i="2" s="1"/>
  <c r="Q301" i="1"/>
  <c r="X55" i="2" s="1"/>
  <c r="P301" i="1"/>
  <c r="X67" i="2" s="1"/>
  <c r="O301" i="1"/>
  <c r="X31" i="2" s="1"/>
  <c r="N301" i="1"/>
  <c r="X43" i="2" s="1"/>
  <c r="L301" i="1"/>
  <c r="X19" i="2" s="1"/>
  <c r="K301" i="1"/>
  <c r="X7" i="2" s="1"/>
  <c r="H301" i="1"/>
  <c r="X107" i="2" s="1"/>
  <c r="T300" i="1"/>
  <c r="X92" i="2" s="1"/>
  <c r="S300" i="1"/>
  <c r="X78" i="2" s="1"/>
  <c r="Q300" i="1"/>
  <c r="X54" i="2" s="1"/>
  <c r="P300" i="1"/>
  <c r="X66" i="2" s="1"/>
  <c r="O300" i="1"/>
  <c r="X30" i="2" s="1"/>
  <c r="N300" i="1"/>
  <c r="X42" i="2" s="1"/>
  <c r="L300" i="1"/>
  <c r="X18" i="2" s="1"/>
  <c r="K300" i="1"/>
  <c r="X6" i="2" s="1"/>
  <c r="H300" i="1"/>
  <c r="X106" i="2" s="1"/>
  <c r="T299" i="1"/>
  <c r="X91" i="2" s="1"/>
  <c r="S299" i="1"/>
  <c r="X77" i="2" s="1"/>
  <c r="Q299" i="1"/>
  <c r="X53" i="2" s="1"/>
  <c r="P299" i="1"/>
  <c r="X65" i="2" s="1"/>
  <c r="O299" i="1"/>
  <c r="X29" i="2" s="1"/>
  <c r="N299" i="1"/>
  <c r="X41" i="2" s="1"/>
  <c r="L299" i="1"/>
  <c r="X17" i="2" s="1"/>
  <c r="K299" i="1"/>
  <c r="X5" i="2" s="1"/>
  <c r="H299" i="1"/>
  <c r="T298" i="1"/>
  <c r="X90" i="2" s="1"/>
  <c r="S298" i="1"/>
  <c r="X76" i="2" s="1"/>
  <c r="Q298" i="1"/>
  <c r="X52" i="2" s="1"/>
  <c r="P298" i="1"/>
  <c r="X64" i="2" s="1"/>
  <c r="O298" i="1"/>
  <c r="X28" i="2" s="1"/>
  <c r="N298" i="1"/>
  <c r="X40" i="2" s="1"/>
  <c r="L298" i="1"/>
  <c r="X16" i="2" s="1"/>
  <c r="K298" i="1"/>
  <c r="X4" i="2" s="1"/>
  <c r="H298" i="1"/>
  <c r="X104" i="2" s="1"/>
  <c r="T297" i="1"/>
  <c r="X89" i="2" s="1"/>
  <c r="S297" i="1"/>
  <c r="X75" i="2" s="1"/>
  <c r="Q297" i="1"/>
  <c r="X51" i="2" s="1"/>
  <c r="P297" i="1"/>
  <c r="X63" i="2" s="1"/>
  <c r="O297" i="1"/>
  <c r="X27" i="2" s="1"/>
  <c r="N297" i="1"/>
  <c r="X39" i="2" s="1"/>
  <c r="L297" i="1"/>
  <c r="X15" i="2" s="1"/>
  <c r="K297" i="1"/>
  <c r="X3" i="2" s="1"/>
  <c r="H297" i="1"/>
  <c r="X103" i="2" s="1"/>
  <c r="T294" i="1"/>
  <c r="W100" i="2" s="1"/>
  <c r="S294" i="1"/>
  <c r="W86" i="2" s="1"/>
  <c r="Q294" i="1"/>
  <c r="W60" i="2" s="1"/>
  <c r="P294" i="1"/>
  <c r="W72" i="2" s="1"/>
  <c r="O294" i="1"/>
  <c r="W36" i="2" s="1"/>
  <c r="N294" i="1"/>
  <c r="W48" i="2" s="1"/>
  <c r="L294" i="1"/>
  <c r="W24" i="2" s="1"/>
  <c r="K294" i="1"/>
  <c r="W12" i="2" s="1"/>
  <c r="H294" i="1"/>
  <c r="R294" i="1" s="1"/>
  <c r="T293" i="1"/>
  <c r="W99" i="2" s="1"/>
  <c r="S293" i="1"/>
  <c r="W85" i="2" s="1"/>
  <c r="Q293" i="1"/>
  <c r="W59" i="2" s="1"/>
  <c r="P293" i="1"/>
  <c r="W71" i="2" s="1"/>
  <c r="O293" i="1"/>
  <c r="W35" i="2" s="1"/>
  <c r="N293" i="1"/>
  <c r="W47" i="2" s="1"/>
  <c r="L293" i="1"/>
  <c r="W23" i="2" s="1"/>
  <c r="H293" i="1"/>
  <c r="F151" i="2" s="1"/>
  <c r="T292" i="1"/>
  <c r="W98" i="2" s="1"/>
  <c r="S292" i="1"/>
  <c r="W84" i="2" s="1"/>
  <c r="Q292" i="1"/>
  <c r="W58" i="2" s="1"/>
  <c r="P292" i="1"/>
  <c r="W70" i="2" s="1"/>
  <c r="O292" i="1"/>
  <c r="W34" i="2" s="1"/>
  <c r="N292" i="1"/>
  <c r="W46" i="2" s="1"/>
  <c r="L292" i="1"/>
  <c r="W22" i="2" s="1"/>
  <c r="K292" i="1"/>
  <c r="W10" i="2" s="1"/>
  <c r="H292" i="1"/>
  <c r="W112" i="2" s="1"/>
  <c r="T291" i="1"/>
  <c r="W97" i="2" s="1"/>
  <c r="S291" i="1"/>
  <c r="W83" i="2" s="1"/>
  <c r="Q291" i="1"/>
  <c r="P291" i="1"/>
  <c r="O291" i="1"/>
  <c r="N291" i="1"/>
  <c r="L291" i="1"/>
  <c r="K291" i="1"/>
  <c r="H291" i="1"/>
  <c r="W111" i="2" s="1"/>
  <c r="T290" i="1"/>
  <c r="W96" i="2" s="1"/>
  <c r="S290" i="1"/>
  <c r="W82" i="2" s="1"/>
  <c r="Q290" i="1"/>
  <c r="P290" i="1"/>
  <c r="O290" i="1"/>
  <c r="N290" i="1"/>
  <c r="L290" i="1"/>
  <c r="K290" i="1"/>
  <c r="H290" i="1"/>
  <c r="W110" i="2" s="1"/>
  <c r="T289" i="1"/>
  <c r="W95" i="2" s="1"/>
  <c r="S289" i="1"/>
  <c r="W81" i="2" s="1"/>
  <c r="Q289" i="1"/>
  <c r="P289" i="1"/>
  <c r="W69" i="2" s="1"/>
  <c r="O289" i="1"/>
  <c r="N289" i="1"/>
  <c r="L289" i="1"/>
  <c r="H289" i="1"/>
  <c r="G289" i="1"/>
  <c r="W9" i="2" s="1"/>
  <c r="T288" i="1"/>
  <c r="W94" i="2" s="1"/>
  <c r="S288" i="1"/>
  <c r="W80" i="2" s="1"/>
  <c r="Q288" i="1"/>
  <c r="W56" i="2" s="1"/>
  <c r="P288" i="1"/>
  <c r="W68" i="2" s="1"/>
  <c r="O288" i="1"/>
  <c r="W32" i="2" s="1"/>
  <c r="N288" i="1"/>
  <c r="W44" i="2" s="1"/>
  <c r="L288" i="1"/>
  <c r="W20" i="2" s="1"/>
  <c r="K288" i="1"/>
  <c r="W8" i="2" s="1"/>
  <c r="H288" i="1"/>
  <c r="W108" i="2" s="1"/>
  <c r="T287" i="1"/>
  <c r="W93" i="2" s="1"/>
  <c r="S287" i="1"/>
  <c r="W79" i="2" s="1"/>
  <c r="Q287" i="1"/>
  <c r="W55" i="2" s="1"/>
  <c r="P287" i="1"/>
  <c r="W67" i="2" s="1"/>
  <c r="O287" i="1"/>
  <c r="W31" i="2" s="1"/>
  <c r="N287" i="1"/>
  <c r="W43" i="2" s="1"/>
  <c r="L287" i="1"/>
  <c r="W19" i="2" s="1"/>
  <c r="K287" i="1"/>
  <c r="W7" i="2" s="1"/>
  <c r="H287" i="1"/>
  <c r="W107" i="2" s="1"/>
  <c r="T286" i="1"/>
  <c r="W92" i="2" s="1"/>
  <c r="S286" i="1"/>
  <c r="W78" i="2" s="1"/>
  <c r="Q286" i="1"/>
  <c r="W54" i="2" s="1"/>
  <c r="P286" i="1"/>
  <c r="W66" i="2" s="1"/>
  <c r="O286" i="1"/>
  <c r="W30" i="2" s="1"/>
  <c r="N286" i="1"/>
  <c r="W42" i="2" s="1"/>
  <c r="L286" i="1"/>
  <c r="W18" i="2" s="1"/>
  <c r="K286" i="1"/>
  <c r="W6" i="2" s="1"/>
  <c r="H286" i="1"/>
  <c r="W106" i="2" s="1"/>
  <c r="T285" i="1"/>
  <c r="W91" i="2" s="1"/>
  <c r="S285" i="1"/>
  <c r="W77" i="2" s="1"/>
  <c r="Q285" i="1"/>
  <c r="W53" i="2" s="1"/>
  <c r="P285" i="1"/>
  <c r="W65" i="2" s="1"/>
  <c r="O285" i="1"/>
  <c r="W29" i="2" s="1"/>
  <c r="N285" i="1"/>
  <c r="W41" i="2" s="1"/>
  <c r="L285" i="1"/>
  <c r="W17" i="2" s="1"/>
  <c r="K285" i="1"/>
  <c r="W5" i="2" s="1"/>
  <c r="H285" i="1"/>
  <c r="T284" i="1"/>
  <c r="W90" i="2" s="1"/>
  <c r="S284" i="1"/>
  <c r="W76" i="2" s="1"/>
  <c r="Q284" i="1"/>
  <c r="W52" i="2" s="1"/>
  <c r="P284" i="1"/>
  <c r="W64" i="2" s="1"/>
  <c r="O284" i="1"/>
  <c r="W28" i="2" s="1"/>
  <c r="N284" i="1"/>
  <c r="W40" i="2" s="1"/>
  <c r="L284" i="1"/>
  <c r="W16" i="2" s="1"/>
  <c r="K284" i="1"/>
  <c r="W4" i="2" s="1"/>
  <c r="H284" i="1"/>
  <c r="W104" i="2" s="1"/>
  <c r="T283" i="1"/>
  <c r="W89" i="2" s="1"/>
  <c r="S283" i="1"/>
  <c r="W75" i="2" s="1"/>
  <c r="Q283" i="1"/>
  <c r="W51" i="2" s="1"/>
  <c r="P283" i="1"/>
  <c r="W63" i="2" s="1"/>
  <c r="O283" i="1"/>
  <c r="W27" i="2" s="1"/>
  <c r="N283" i="1"/>
  <c r="W39" i="2" s="1"/>
  <c r="L283" i="1"/>
  <c r="W15" i="2" s="1"/>
  <c r="K283" i="1"/>
  <c r="W3" i="2" s="1"/>
  <c r="H283" i="1"/>
  <c r="W103" i="2" s="1"/>
  <c r="W280" i="1"/>
  <c r="V280" i="1"/>
  <c r="T280" i="1"/>
  <c r="V100" i="2" s="1"/>
  <c r="S280" i="1"/>
  <c r="V86" i="2" s="1"/>
  <c r="P280" i="1"/>
  <c r="V72" i="2" s="1"/>
  <c r="O280" i="1"/>
  <c r="V36" i="2" s="1"/>
  <c r="L280" i="1"/>
  <c r="K280" i="1"/>
  <c r="V12" i="2" s="1"/>
  <c r="E280" i="1"/>
  <c r="Q280" i="1" s="1"/>
  <c r="V60" i="2" s="1"/>
  <c r="W279" i="1"/>
  <c r="V279" i="1"/>
  <c r="T279" i="1"/>
  <c r="V99" i="2" s="1"/>
  <c r="S279" i="1"/>
  <c r="V85" i="2" s="1"/>
  <c r="Q279" i="1"/>
  <c r="V59" i="2" s="1"/>
  <c r="P279" i="1"/>
  <c r="V71" i="2" s="1"/>
  <c r="O279" i="1"/>
  <c r="V35" i="2" s="1"/>
  <c r="N279" i="1"/>
  <c r="V47" i="2" s="1"/>
  <c r="L279" i="1"/>
  <c r="H279" i="1"/>
  <c r="F149" i="2" s="1"/>
  <c r="F150" i="2" s="1"/>
  <c r="W278" i="1"/>
  <c r="V278" i="1"/>
  <c r="T278" i="1"/>
  <c r="V98" i="2" s="1"/>
  <c r="S278" i="1"/>
  <c r="V84" i="2" s="1"/>
  <c r="Q278" i="1"/>
  <c r="V58" i="2" s="1"/>
  <c r="P278" i="1"/>
  <c r="V70" i="2" s="1"/>
  <c r="O278" i="1"/>
  <c r="V34" i="2" s="1"/>
  <c r="N278" i="1"/>
  <c r="V46" i="2" s="1"/>
  <c r="L278" i="1"/>
  <c r="K278" i="1"/>
  <c r="V10" i="2" s="1"/>
  <c r="H278" i="1"/>
  <c r="V112" i="2" s="1"/>
  <c r="W277" i="1"/>
  <c r="V277" i="1"/>
  <c r="T277" i="1"/>
  <c r="V97" i="2" s="1"/>
  <c r="S277" i="1"/>
  <c r="V83" i="2" s="1"/>
  <c r="Q277" i="1"/>
  <c r="P277" i="1"/>
  <c r="O277" i="1"/>
  <c r="N277" i="1"/>
  <c r="L277" i="1"/>
  <c r="K277" i="1"/>
  <c r="H277" i="1"/>
  <c r="V111" i="2" s="1"/>
  <c r="W276" i="1"/>
  <c r="V276" i="1"/>
  <c r="T276" i="1"/>
  <c r="V96" i="2" s="1"/>
  <c r="S276" i="1"/>
  <c r="V82" i="2" s="1"/>
  <c r="Q276" i="1"/>
  <c r="P276" i="1"/>
  <c r="O276" i="1"/>
  <c r="N276" i="1"/>
  <c r="L276" i="1"/>
  <c r="K276" i="1"/>
  <c r="H276" i="1"/>
  <c r="V110" i="2" s="1"/>
  <c r="W275" i="1"/>
  <c r="V275" i="1"/>
  <c r="T275" i="1"/>
  <c r="V95" i="2" s="1"/>
  <c r="S275" i="1"/>
  <c r="V81" i="2" s="1"/>
  <c r="Q275" i="1"/>
  <c r="P275" i="1"/>
  <c r="V69" i="2" s="1"/>
  <c r="O275" i="1"/>
  <c r="N275" i="1"/>
  <c r="L275" i="1"/>
  <c r="H275" i="1"/>
  <c r="G275" i="1"/>
  <c r="V9" i="2" s="1"/>
  <c r="W274" i="1"/>
  <c r="V274" i="1"/>
  <c r="T274" i="1"/>
  <c r="V94" i="2" s="1"/>
  <c r="S274" i="1"/>
  <c r="V80" i="2" s="1"/>
  <c r="Q274" i="1"/>
  <c r="V56" i="2" s="1"/>
  <c r="P274" i="1"/>
  <c r="V68" i="2" s="1"/>
  <c r="O274" i="1"/>
  <c r="V32" i="2" s="1"/>
  <c r="N274" i="1"/>
  <c r="V44" i="2" s="1"/>
  <c r="L274" i="1"/>
  <c r="K274" i="1"/>
  <c r="V8" i="2" s="1"/>
  <c r="H274" i="1"/>
  <c r="V108" i="2" s="1"/>
  <c r="W273" i="1"/>
  <c r="V273" i="1"/>
  <c r="T273" i="1"/>
  <c r="V93" i="2" s="1"/>
  <c r="S273" i="1"/>
  <c r="V79" i="2" s="1"/>
  <c r="Q273" i="1"/>
  <c r="V55" i="2" s="1"/>
  <c r="P273" i="1"/>
  <c r="V67" i="2" s="1"/>
  <c r="O273" i="1"/>
  <c r="V31" i="2" s="1"/>
  <c r="N273" i="1"/>
  <c r="V43" i="2" s="1"/>
  <c r="L273" i="1"/>
  <c r="K273" i="1"/>
  <c r="V7" i="2" s="1"/>
  <c r="H273" i="1"/>
  <c r="V107" i="2" s="1"/>
  <c r="W272" i="1"/>
  <c r="V272" i="1"/>
  <c r="T272" i="1"/>
  <c r="V92" i="2" s="1"/>
  <c r="S272" i="1"/>
  <c r="V78" i="2" s="1"/>
  <c r="Q272" i="1"/>
  <c r="V54" i="2" s="1"/>
  <c r="P272" i="1"/>
  <c r="V66" i="2" s="1"/>
  <c r="O272" i="1"/>
  <c r="V30" i="2" s="1"/>
  <c r="N272" i="1"/>
  <c r="V42" i="2" s="1"/>
  <c r="L272" i="1"/>
  <c r="K272" i="1"/>
  <c r="V6" i="2" s="1"/>
  <c r="H272" i="1"/>
  <c r="V106" i="2" s="1"/>
  <c r="W271" i="1"/>
  <c r="V271" i="1"/>
  <c r="T271" i="1"/>
  <c r="V91" i="2" s="1"/>
  <c r="S271" i="1"/>
  <c r="V77" i="2" s="1"/>
  <c r="Q271" i="1"/>
  <c r="V53" i="2" s="1"/>
  <c r="P271" i="1"/>
  <c r="V65" i="2" s="1"/>
  <c r="O271" i="1"/>
  <c r="V29" i="2" s="1"/>
  <c r="N271" i="1"/>
  <c r="V41" i="2" s="1"/>
  <c r="L271" i="1"/>
  <c r="K271" i="1"/>
  <c r="V5" i="2" s="1"/>
  <c r="H271" i="1"/>
  <c r="W270" i="1"/>
  <c r="V270" i="1"/>
  <c r="T270" i="1"/>
  <c r="V90" i="2" s="1"/>
  <c r="S270" i="1"/>
  <c r="V76" i="2" s="1"/>
  <c r="Q270" i="1"/>
  <c r="V52" i="2" s="1"/>
  <c r="P270" i="1"/>
  <c r="V64" i="2" s="1"/>
  <c r="O270" i="1"/>
  <c r="V28" i="2" s="1"/>
  <c r="N270" i="1"/>
  <c r="V40" i="2" s="1"/>
  <c r="L270" i="1"/>
  <c r="K270" i="1"/>
  <c r="V4" i="2" s="1"/>
  <c r="H270" i="1"/>
  <c r="V104" i="2" s="1"/>
  <c r="W269" i="1"/>
  <c r="V269" i="1"/>
  <c r="T269" i="1"/>
  <c r="V89" i="2" s="1"/>
  <c r="S269" i="1"/>
  <c r="V75" i="2" s="1"/>
  <c r="Q269" i="1"/>
  <c r="V51" i="2" s="1"/>
  <c r="P269" i="1"/>
  <c r="V63" i="2" s="1"/>
  <c r="O269" i="1"/>
  <c r="V27" i="2" s="1"/>
  <c r="N269" i="1"/>
  <c r="V39" i="2" s="1"/>
  <c r="L269" i="1"/>
  <c r="K269" i="1"/>
  <c r="V3" i="2" s="1"/>
  <c r="H269" i="1"/>
  <c r="V103" i="2" s="1"/>
  <c r="T266" i="1"/>
  <c r="U100" i="2" s="1"/>
  <c r="S266" i="1"/>
  <c r="U86" i="2" s="1"/>
  <c r="Q266" i="1"/>
  <c r="U60" i="2" s="1"/>
  <c r="P266" i="1"/>
  <c r="U72" i="2" s="1"/>
  <c r="O266" i="1"/>
  <c r="U36" i="2" s="1"/>
  <c r="N266" i="1"/>
  <c r="U48" i="2" s="1"/>
  <c r="L266" i="1"/>
  <c r="U24" i="2" s="1"/>
  <c r="K266" i="1"/>
  <c r="U12" i="2" s="1"/>
  <c r="H266" i="1"/>
  <c r="R266" i="1" s="1"/>
  <c r="T265" i="1"/>
  <c r="U99" i="2" s="1"/>
  <c r="S265" i="1"/>
  <c r="U85" i="2" s="1"/>
  <c r="Q265" i="1"/>
  <c r="U59" i="2" s="1"/>
  <c r="P265" i="1"/>
  <c r="U71" i="2" s="1"/>
  <c r="O265" i="1"/>
  <c r="U35" i="2" s="1"/>
  <c r="N265" i="1"/>
  <c r="U47" i="2" s="1"/>
  <c r="L265" i="1"/>
  <c r="U23" i="2" s="1"/>
  <c r="H265" i="1"/>
  <c r="F148" i="2" s="1"/>
  <c r="T264" i="1"/>
  <c r="U98" i="2" s="1"/>
  <c r="S264" i="1"/>
  <c r="U84" i="2" s="1"/>
  <c r="Q264" i="1"/>
  <c r="U58" i="2" s="1"/>
  <c r="P264" i="1"/>
  <c r="U70" i="2" s="1"/>
  <c r="O264" i="1"/>
  <c r="U34" i="2" s="1"/>
  <c r="N264" i="1"/>
  <c r="U46" i="2" s="1"/>
  <c r="L264" i="1"/>
  <c r="U22" i="2" s="1"/>
  <c r="K264" i="1"/>
  <c r="U10" i="2" s="1"/>
  <c r="H264" i="1"/>
  <c r="U112" i="2" s="1"/>
  <c r="T263" i="1"/>
  <c r="U97" i="2" s="1"/>
  <c r="S263" i="1"/>
  <c r="U83" i="2" s="1"/>
  <c r="Q263" i="1"/>
  <c r="P263" i="1"/>
  <c r="O263" i="1"/>
  <c r="N263" i="1"/>
  <c r="L263" i="1"/>
  <c r="K263" i="1"/>
  <c r="H263" i="1"/>
  <c r="U111" i="2" s="1"/>
  <c r="T262" i="1"/>
  <c r="U96" i="2" s="1"/>
  <c r="S262" i="1"/>
  <c r="U82" i="2" s="1"/>
  <c r="Q262" i="1"/>
  <c r="P262" i="1"/>
  <c r="O262" i="1"/>
  <c r="N262" i="1"/>
  <c r="L262" i="1"/>
  <c r="K262" i="1"/>
  <c r="H262" i="1"/>
  <c r="U110" i="2" s="1"/>
  <c r="T261" i="1"/>
  <c r="U95" i="2" s="1"/>
  <c r="S261" i="1"/>
  <c r="U81" i="2" s="1"/>
  <c r="Q261" i="1"/>
  <c r="P261" i="1"/>
  <c r="U69" i="2" s="1"/>
  <c r="O261" i="1"/>
  <c r="N261" i="1"/>
  <c r="L261" i="1"/>
  <c r="H261" i="1"/>
  <c r="G261" i="1"/>
  <c r="U9" i="2" s="1"/>
  <c r="T260" i="1"/>
  <c r="U94" i="2" s="1"/>
  <c r="S260" i="1"/>
  <c r="U80" i="2" s="1"/>
  <c r="Q260" i="1"/>
  <c r="U56" i="2" s="1"/>
  <c r="P260" i="1"/>
  <c r="U68" i="2" s="1"/>
  <c r="O260" i="1"/>
  <c r="U32" i="2" s="1"/>
  <c r="N260" i="1"/>
  <c r="U44" i="2" s="1"/>
  <c r="L260" i="1"/>
  <c r="U20" i="2" s="1"/>
  <c r="K260" i="1"/>
  <c r="U8" i="2" s="1"/>
  <c r="H260" i="1"/>
  <c r="U108" i="2" s="1"/>
  <c r="T259" i="1"/>
  <c r="U93" i="2" s="1"/>
  <c r="S259" i="1"/>
  <c r="U79" i="2" s="1"/>
  <c r="Q259" i="1"/>
  <c r="U55" i="2" s="1"/>
  <c r="P259" i="1"/>
  <c r="U67" i="2" s="1"/>
  <c r="O259" i="1"/>
  <c r="U31" i="2" s="1"/>
  <c r="N259" i="1"/>
  <c r="U43" i="2" s="1"/>
  <c r="L259" i="1"/>
  <c r="U19" i="2" s="1"/>
  <c r="K259" i="1"/>
  <c r="U7" i="2" s="1"/>
  <c r="H259" i="1"/>
  <c r="U107" i="2" s="1"/>
  <c r="T258" i="1"/>
  <c r="U92" i="2" s="1"/>
  <c r="S258" i="1"/>
  <c r="U78" i="2" s="1"/>
  <c r="Q258" i="1"/>
  <c r="U54" i="2" s="1"/>
  <c r="P258" i="1"/>
  <c r="U66" i="2" s="1"/>
  <c r="O258" i="1"/>
  <c r="U30" i="2" s="1"/>
  <c r="N258" i="1"/>
  <c r="U42" i="2" s="1"/>
  <c r="L258" i="1"/>
  <c r="U18" i="2" s="1"/>
  <c r="K258" i="1"/>
  <c r="U6" i="2" s="1"/>
  <c r="H258" i="1"/>
  <c r="U106" i="2" s="1"/>
  <c r="T257" i="1"/>
  <c r="U91" i="2" s="1"/>
  <c r="S257" i="1"/>
  <c r="U77" i="2" s="1"/>
  <c r="Q257" i="1"/>
  <c r="U53" i="2" s="1"/>
  <c r="P257" i="1"/>
  <c r="U65" i="2" s="1"/>
  <c r="O257" i="1"/>
  <c r="U29" i="2" s="1"/>
  <c r="N257" i="1"/>
  <c r="U41" i="2" s="1"/>
  <c r="L257" i="1"/>
  <c r="U17" i="2" s="1"/>
  <c r="K257" i="1"/>
  <c r="U5" i="2" s="1"/>
  <c r="H257" i="1"/>
  <c r="T256" i="1"/>
  <c r="U90" i="2" s="1"/>
  <c r="S256" i="1"/>
  <c r="U76" i="2" s="1"/>
  <c r="Q256" i="1"/>
  <c r="U52" i="2" s="1"/>
  <c r="P256" i="1"/>
  <c r="U64" i="2" s="1"/>
  <c r="O256" i="1"/>
  <c r="U28" i="2" s="1"/>
  <c r="N256" i="1"/>
  <c r="U40" i="2" s="1"/>
  <c r="L256" i="1"/>
  <c r="U16" i="2" s="1"/>
  <c r="K256" i="1"/>
  <c r="U4" i="2" s="1"/>
  <c r="H256" i="1"/>
  <c r="U104" i="2" s="1"/>
  <c r="T255" i="1"/>
  <c r="U89" i="2" s="1"/>
  <c r="S255" i="1"/>
  <c r="U75" i="2" s="1"/>
  <c r="Q255" i="1"/>
  <c r="U51" i="2" s="1"/>
  <c r="P255" i="1"/>
  <c r="U63" i="2" s="1"/>
  <c r="O255" i="1"/>
  <c r="U27" i="2" s="1"/>
  <c r="N255" i="1"/>
  <c r="U39" i="2" s="1"/>
  <c r="L255" i="1"/>
  <c r="U15" i="2" s="1"/>
  <c r="K255" i="1"/>
  <c r="U3" i="2" s="1"/>
  <c r="H255" i="1"/>
  <c r="U103" i="2" s="1"/>
  <c r="T252" i="1"/>
  <c r="T100" i="2" s="1"/>
  <c r="S252" i="1"/>
  <c r="T86" i="2" s="1"/>
  <c r="Q252" i="1"/>
  <c r="T60" i="2" s="1"/>
  <c r="P252" i="1"/>
  <c r="T72" i="2" s="1"/>
  <c r="O252" i="1"/>
  <c r="T36" i="2" s="1"/>
  <c r="N252" i="1"/>
  <c r="T48" i="2" s="1"/>
  <c r="L252" i="1"/>
  <c r="T24" i="2" s="1"/>
  <c r="K252" i="1"/>
  <c r="T12" i="2" s="1"/>
  <c r="H252" i="1"/>
  <c r="R252" i="1" s="1"/>
  <c r="T251" i="1"/>
  <c r="T99" i="2" s="1"/>
  <c r="S251" i="1"/>
  <c r="T85" i="2" s="1"/>
  <c r="Q251" i="1"/>
  <c r="T59" i="2" s="1"/>
  <c r="P251" i="1"/>
  <c r="T71" i="2" s="1"/>
  <c r="O251" i="1"/>
  <c r="T35" i="2" s="1"/>
  <c r="N251" i="1"/>
  <c r="T47" i="2" s="1"/>
  <c r="L251" i="1"/>
  <c r="T23" i="2" s="1"/>
  <c r="H251" i="1"/>
  <c r="F147" i="2" s="1"/>
  <c r="T250" i="1"/>
  <c r="T98" i="2" s="1"/>
  <c r="S250" i="1"/>
  <c r="T84" i="2" s="1"/>
  <c r="Q250" i="1"/>
  <c r="T58" i="2" s="1"/>
  <c r="P250" i="1"/>
  <c r="T70" i="2" s="1"/>
  <c r="O250" i="1"/>
  <c r="T34" i="2" s="1"/>
  <c r="N250" i="1"/>
  <c r="T46" i="2" s="1"/>
  <c r="L250" i="1"/>
  <c r="T22" i="2" s="1"/>
  <c r="K250" i="1"/>
  <c r="T10" i="2" s="1"/>
  <c r="H250" i="1"/>
  <c r="T112" i="2" s="1"/>
  <c r="T249" i="1"/>
  <c r="T97" i="2" s="1"/>
  <c r="S249" i="1"/>
  <c r="T83" i="2" s="1"/>
  <c r="Q249" i="1"/>
  <c r="P249" i="1"/>
  <c r="O249" i="1"/>
  <c r="N249" i="1"/>
  <c r="L249" i="1"/>
  <c r="K249" i="1"/>
  <c r="H249" i="1"/>
  <c r="T111" i="2" s="1"/>
  <c r="T248" i="1"/>
  <c r="T96" i="2" s="1"/>
  <c r="S248" i="1"/>
  <c r="T82" i="2" s="1"/>
  <c r="Q248" i="1"/>
  <c r="P248" i="1"/>
  <c r="O248" i="1"/>
  <c r="N248" i="1"/>
  <c r="L248" i="1"/>
  <c r="K248" i="1"/>
  <c r="H248" i="1"/>
  <c r="T110" i="2" s="1"/>
  <c r="T247" i="1"/>
  <c r="T95" i="2" s="1"/>
  <c r="S247" i="1"/>
  <c r="T81" i="2" s="1"/>
  <c r="Q247" i="1"/>
  <c r="P247" i="1"/>
  <c r="T69" i="2" s="1"/>
  <c r="O247" i="1"/>
  <c r="N247" i="1"/>
  <c r="L247" i="1"/>
  <c r="H247" i="1"/>
  <c r="G247" i="1"/>
  <c r="T9" i="2" s="1"/>
  <c r="T246" i="1"/>
  <c r="T94" i="2" s="1"/>
  <c r="S246" i="1"/>
  <c r="T80" i="2" s="1"/>
  <c r="Q246" i="1"/>
  <c r="T56" i="2" s="1"/>
  <c r="P246" i="1"/>
  <c r="T68" i="2" s="1"/>
  <c r="O246" i="1"/>
  <c r="T32" i="2" s="1"/>
  <c r="N246" i="1"/>
  <c r="T44" i="2" s="1"/>
  <c r="L246" i="1"/>
  <c r="T20" i="2" s="1"/>
  <c r="K246" i="1"/>
  <c r="T8" i="2" s="1"/>
  <c r="H246" i="1"/>
  <c r="T108" i="2" s="1"/>
  <c r="T245" i="1"/>
  <c r="T93" i="2" s="1"/>
  <c r="S245" i="1"/>
  <c r="T79" i="2" s="1"/>
  <c r="Q245" i="1"/>
  <c r="T55" i="2" s="1"/>
  <c r="P245" i="1"/>
  <c r="T67" i="2" s="1"/>
  <c r="O245" i="1"/>
  <c r="T31" i="2" s="1"/>
  <c r="N245" i="1"/>
  <c r="T43" i="2" s="1"/>
  <c r="L245" i="1"/>
  <c r="T19" i="2" s="1"/>
  <c r="K245" i="1"/>
  <c r="T7" i="2" s="1"/>
  <c r="H245" i="1"/>
  <c r="T107" i="2" s="1"/>
  <c r="T244" i="1"/>
  <c r="T92" i="2" s="1"/>
  <c r="S244" i="1"/>
  <c r="T78" i="2" s="1"/>
  <c r="Q244" i="1"/>
  <c r="T54" i="2" s="1"/>
  <c r="P244" i="1"/>
  <c r="T66" i="2" s="1"/>
  <c r="O244" i="1"/>
  <c r="T30" i="2" s="1"/>
  <c r="N244" i="1"/>
  <c r="T42" i="2" s="1"/>
  <c r="L244" i="1"/>
  <c r="T18" i="2" s="1"/>
  <c r="K244" i="1"/>
  <c r="T6" i="2" s="1"/>
  <c r="H244" i="1"/>
  <c r="T106" i="2" s="1"/>
  <c r="T243" i="1"/>
  <c r="T91" i="2" s="1"/>
  <c r="S243" i="1"/>
  <c r="T77" i="2" s="1"/>
  <c r="Q243" i="1"/>
  <c r="T53" i="2" s="1"/>
  <c r="P243" i="1"/>
  <c r="T65" i="2" s="1"/>
  <c r="O243" i="1"/>
  <c r="T29" i="2" s="1"/>
  <c r="N243" i="1"/>
  <c r="T41" i="2" s="1"/>
  <c r="L243" i="1"/>
  <c r="T17" i="2" s="1"/>
  <c r="K243" i="1"/>
  <c r="T5" i="2" s="1"/>
  <c r="H243" i="1"/>
  <c r="T242" i="1"/>
  <c r="T90" i="2" s="1"/>
  <c r="S242" i="1"/>
  <c r="T76" i="2" s="1"/>
  <c r="Q242" i="1"/>
  <c r="T52" i="2" s="1"/>
  <c r="P242" i="1"/>
  <c r="T64" i="2" s="1"/>
  <c r="O242" i="1"/>
  <c r="T28" i="2" s="1"/>
  <c r="N242" i="1"/>
  <c r="T40" i="2" s="1"/>
  <c r="L242" i="1"/>
  <c r="T16" i="2" s="1"/>
  <c r="K242" i="1"/>
  <c r="T4" i="2" s="1"/>
  <c r="H242" i="1"/>
  <c r="T104" i="2" s="1"/>
  <c r="T241" i="1"/>
  <c r="T89" i="2" s="1"/>
  <c r="S241" i="1"/>
  <c r="T75" i="2" s="1"/>
  <c r="Q241" i="1"/>
  <c r="T51" i="2" s="1"/>
  <c r="P241" i="1"/>
  <c r="T63" i="2" s="1"/>
  <c r="O241" i="1"/>
  <c r="T27" i="2" s="1"/>
  <c r="N241" i="1"/>
  <c r="T39" i="2" s="1"/>
  <c r="L241" i="1"/>
  <c r="T15" i="2" s="1"/>
  <c r="K241" i="1"/>
  <c r="T3" i="2" s="1"/>
  <c r="H241" i="1"/>
  <c r="T103" i="2" s="1"/>
  <c r="T238" i="1"/>
  <c r="S100" i="2" s="1"/>
  <c r="S238" i="1"/>
  <c r="S86" i="2" s="1"/>
  <c r="Q238" i="1"/>
  <c r="S60" i="2" s="1"/>
  <c r="P238" i="1"/>
  <c r="S72" i="2" s="1"/>
  <c r="O238" i="1"/>
  <c r="S36" i="2" s="1"/>
  <c r="N238" i="1"/>
  <c r="S48" i="2" s="1"/>
  <c r="L238" i="1"/>
  <c r="S24" i="2" s="1"/>
  <c r="K238" i="1"/>
  <c r="S12" i="2" s="1"/>
  <c r="H238" i="1"/>
  <c r="R238" i="1" s="1"/>
  <c r="T237" i="1"/>
  <c r="S99" i="2" s="1"/>
  <c r="S237" i="1"/>
  <c r="S85" i="2" s="1"/>
  <c r="Q237" i="1"/>
  <c r="S59" i="2" s="1"/>
  <c r="P237" i="1"/>
  <c r="S71" i="2" s="1"/>
  <c r="O237" i="1"/>
  <c r="S35" i="2" s="1"/>
  <c r="N237" i="1"/>
  <c r="S47" i="2" s="1"/>
  <c r="L237" i="1"/>
  <c r="S23" i="2" s="1"/>
  <c r="H237" i="1"/>
  <c r="F146" i="2" s="1"/>
  <c r="T236" i="1"/>
  <c r="S98" i="2" s="1"/>
  <c r="S236" i="1"/>
  <c r="S84" i="2" s="1"/>
  <c r="Q236" i="1"/>
  <c r="S58" i="2" s="1"/>
  <c r="P236" i="1"/>
  <c r="S70" i="2" s="1"/>
  <c r="O236" i="1"/>
  <c r="S34" i="2" s="1"/>
  <c r="N236" i="1"/>
  <c r="S46" i="2" s="1"/>
  <c r="L236" i="1"/>
  <c r="S22" i="2" s="1"/>
  <c r="K236" i="1"/>
  <c r="S10" i="2" s="1"/>
  <c r="H236" i="1"/>
  <c r="S112" i="2" s="1"/>
  <c r="T235" i="1"/>
  <c r="S97" i="2" s="1"/>
  <c r="S235" i="1"/>
  <c r="S83" i="2" s="1"/>
  <c r="Q235" i="1"/>
  <c r="P235" i="1"/>
  <c r="O235" i="1"/>
  <c r="N235" i="1"/>
  <c r="L235" i="1"/>
  <c r="K235" i="1"/>
  <c r="H235" i="1"/>
  <c r="S111" i="2" s="1"/>
  <c r="T234" i="1"/>
  <c r="S96" i="2" s="1"/>
  <c r="S234" i="1"/>
  <c r="S82" i="2" s="1"/>
  <c r="Q234" i="1"/>
  <c r="P234" i="1"/>
  <c r="O234" i="1"/>
  <c r="N234" i="1"/>
  <c r="L234" i="1"/>
  <c r="K234" i="1"/>
  <c r="H234" i="1"/>
  <c r="S110" i="2" s="1"/>
  <c r="T233" i="1"/>
  <c r="S95" i="2" s="1"/>
  <c r="S233" i="1"/>
  <c r="S81" i="2" s="1"/>
  <c r="Q233" i="1"/>
  <c r="P233" i="1"/>
  <c r="S69" i="2" s="1"/>
  <c r="O233" i="1"/>
  <c r="N233" i="1"/>
  <c r="L233" i="1"/>
  <c r="H233" i="1"/>
  <c r="G233" i="1"/>
  <c r="S9" i="2" s="1"/>
  <c r="T232" i="1"/>
  <c r="S94" i="2" s="1"/>
  <c r="S232" i="1"/>
  <c r="S80" i="2" s="1"/>
  <c r="Q232" i="1"/>
  <c r="S56" i="2" s="1"/>
  <c r="P232" i="1"/>
  <c r="S68" i="2" s="1"/>
  <c r="O232" i="1"/>
  <c r="S32" i="2" s="1"/>
  <c r="N232" i="1"/>
  <c r="S44" i="2" s="1"/>
  <c r="L232" i="1"/>
  <c r="S20" i="2" s="1"/>
  <c r="K232" i="1"/>
  <c r="S8" i="2" s="1"/>
  <c r="H232" i="1"/>
  <c r="S108" i="2" s="1"/>
  <c r="T231" i="1"/>
  <c r="S93" i="2" s="1"/>
  <c r="S231" i="1"/>
  <c r="S79" i="2" s="1"/>
  <c r="Q231" i="1"/>
  <c r="S55" i="2" s="1"/>
  <c r="P231" i="1"/>
  <c r="S67" i="2" s="1"/>
  <c r="O231" i="1"/>
  <c r="S31" i="2" s="1"/>
  <c r="N231" i="1"/>
  <c r="S43" i="2" s="1"/>
  <c r="L231" i="1"/>
  <c r="S19" i="2" s="1"/>
  <c r="K231" i="1"/>
  <c r="S7" i="2" s="1"/>
  <c r="H231" i="1"/>
  <c r="S107" i="2" s="1"/>
  <c r="T230" i="1"/>
  <c r="S92" i="2" s="1"/>
  <c r="S230" i="1"/>
  <c r="S78" i="2" s="1"/>
  <c r="Q230" i="1"/>
  <c r="S54" i="2" s="1"/>
  <c r="P230" i="1"/>
  <c r="S66" i="2" s="1"/>
  <c r="O230" i="1"/>
  <c r="S30" i="2" s="1"/>
  <c r="N230" i="1"/>
  <c r="S42" i="2" s="1"/>
  <c r="L230" i="1"/>
  <c r="S18" i="2" s="1"/>
  <c r="K230" i="1"/>
  <c r="S6" i="2" s="1"/>
  <c r="H230" i="1"/>
  <c r="S106" i="2" s="1"/>
  <c r="T229" i="1"/>
  <c r="S91" i="2" s="1"/>
  <c r="S229" i="1"/>
  <c r="S77" i="2" s="1"/>
  <c r="Q229" i="1"/>
  <c r="S53" i="2" s="1"/>
  <c r="P229" i="1"/>
  <c r="S65" i="2" s="1"/>
  <c r="O229" i="1"/>
  <c r="S29" i="2" s="1"/>
  <c r="N229" i="1"/>
  <c r="S41" i="2" s="1"/>
  <c r="L229" i="1"/>
  <c r="S17" i="2" s="1"/>
  <c r="K229" i="1"/>
  <c r="S5" i="2" s="1"/>
  <c r="H229" i="1"/>
  <c r="T228" i="1"/>
  <c r="S90" i="2" s="1"/>
  <c r="S228" i="1"/>
  <c r="S76" i="2" s="1"/>
  <c r="Q228" i="1"/>
  <c r="S52" i="2" s="1"/>
  <c r="P228" i="1"/>
  <c r="S64" i="2" s="1"/>
  <c r="O228" i="1"/>
  <c r="S28" i="2" s="1"/>
  <c r="N228" i="1"/>
  <c r="S40" i="2" s="1"/>
  <c r="L228" i="1"/>
  <c r="S16" i="2" s="1"/>
  <c r="K228" i="1"/>
  <c r="S4" i="2" s="1"/>
  <c r="H228" i="1"/>
  <c r="S104" i="2" s="1"/>
  <c r="T227" i="1"/>
  <c r="S89" i="2" s="1"/>
  <c r="S227" i="1"/>
  <c r="S75" i="2" s="1"/>
  <c r="Q227" i="1"/>
  <c r="S51" i="2" s="1"/>
  <c r="P227" i="1"/>
  <c r="S63" i="2" s="1"/>
  <c r="O227" i="1"/>
  <c r="S27" i="2" s="1"/>
  <c r="N227" i="1"/>
  <c r="S39" i="2" s="1"/>
  <c r="L227" i="1"/>
  <c r="S15" i="2" s="1"/>
  <c r="K227" i="1"/>
  <c r="S3" i="2" s="1"/>
  <c r="H227" i="1"/>
  <c r="S103" i="2" s="1"/>
  <c r="T224" i="1"/>
  <c r="R100" i="2" s="1"/>
  <c r="S224" i="1"/>
  <c r="R86" i="2" s="1"/>
  <c r="Q224" i="1"/>
  <c r="R60" i="2" s="1"/>
  <c r="P224" i="1"/>
  <c r="R72" i="2" s="1"/>
  <c r="O224" i="1"/>
  <c r="R36" i="2" s="1"/>
  <c r="N224" i="1"/>
  <c r="R48" i="2" s="1"/>
  <c r="L224" i="1"/>
  <c r="R24" i="2" s="1"/>
  <c r="K224" i="1"/>
  <c r="R12" i="2" s="1"/>
  <c r="H224" i="1"/>
  <c r="R224" i="1" s="1"/>
  <c r="T223" i="1"/>
  <c r="R99" i="2" s="1"/>
  <c r="S223" i="1"/>
  <c r="R85" i="2" s="1"/>
  <c r="Q223" i="1"/>
  <c r="R59" i="2" s="1"/>
  <c r="P223" i="1"/>
  <c r="R71" i="2" s="1"/>
  <c r="O223" i="1"/>
  <c r="R35" i="2" s="1"/>
  <c r="N223" i="1"/>
  <c r="R47" i="2" s="1"/>
  <c r="L223" i="1"/>
  <c r="R23" i="2" s="1"/>
  <c r="H223" i="1"/>
  <c r="F145" i="2" s="1"/>
  <c r="T222" i="1"/>
  <c r="R98" i="2" s="1"/>
  <c r="S222" i="1"/>
  <c r="R84" i="2" s="1"/>
  <c r="Q222" i="1"/>
  <c r="R58" i="2" s="1"/>
  <c r="P222" i="1"/>
  <c r="R70" i="2" s="1"/>
  <c r="O222" i="1"/>
  <c r="R34" i="2" s="1"/>
  <c r="N222" i="1"/>
  <c r="R46" i="2" s="1"/>
  <c r="L222" i="1"/>
  <c r="R22" i="2" s="1"/>
  <c r="K222" i="1"/>
  <c r="R10" i="2" s="1"/>
  <c r="H222" i="1"/>
  <c r="R112" i="2" s="1"/>
  <c r="T221" i="1"/>
  <c r="R97" i="2" s="1"/>
  <c r="S221" i="1"/>
  <c r="R83" i="2" s="1"/>
  <c r="Q221" i="1"/>
  <c r="P221" i="1"/>
  <c r="O221" i="1"/>
  <c r="N221" i="1"/>
  <c r="L221" i="1"/>
  <c r="K221" i="1"/>
  <c r="H221" i="1"/>
  <c r="R111" i="2" s="1"/>
  <c r="T220" i="1"/>
  <c r="R96" i="2" s="1"/>
  <c r="S220" i="1"/>
  <c r="R82" i="2" s="1"/>
  <c r="Q220" i="1"/>
  <c r="P220" i="1"/>
  <c r="O220" i="1"/>
  <c r="N220" i="1"/>
  <c r="L220" i="1"/>
  <c r="K220" i="1"/>
  <c r="H220" i="1"/>
  <c r="R110" i="2" s="1"/>
  <c r="T219" i="1"/>
  <c r="R95" i="2" s="1"/>
  <c r="S219" i="1"/>
  <c r="R81" i="2" s="1"/>
  <c r="Q219" i="1"/>
  <c r="P219" i="1"/>
  <c r="R69" i="2" s="1"/>
  <c r="O219" i="1"/>
  <c r="N219" i="1"/>
  <c r="L219" i="1"/>
  <c r="H219" i="1"/>
  <c r="G219" i="1"/>
  <c r="R9" i="2" s="1"/>
  <c r="T218" i="1"/>
  <c r="R94" i="2" s="1"/>
  <c r="S218" i="1"/>
  <c r="R80" i="2" s="1"/>
  <c r="Q218" i="1"/>
  <c r="R56" i="2" s="1"/>
  <c r="P218" i="1"/>
  <c r="R68" i="2" s="1"/>
  <c r="O218" i="1"/>
  <c r="R32" i="2" s="1"/>
  <c r="N218" i="1"/>
  <c r="R44" i="2" s="1"/>
  <c r="L218" i="1"/>
  <c r="R20" i="2" s="1"/>
  <c r="K218" i="1"/>
  <c r="R8" i="2" s="1"/>
  <c r="H218" i="1"/>
  <c r="R108" i="2" s="1"/>
  <c r="T217" i="1"/>
  <c r="R93" i="2" s="1"/>
  <c r="S217" i="1"/>
  <c r="R79" i="2" s="1"/>
  <c r="Q217" i="1"/>
  <c r="R55" i="2" s="1"/>
  <c r="P217" i="1"/>
  <c r="R67" i="2" s="1"/>
  <c r="O217" i="1"/>
  <c r="R31" i="2" s="1"/>
  <c r="N217" i="1"/>
  <c r="R43" i="2" s="1"/>
  <c r="L217" i="1"/>
  <c r="R19" i="2" s="1"/>
  <c r="K217" i="1"/>
  <c r="R7" i="2" s="1"/>
  <c r="H217" i="1"/>
  <c r="R107" i="2" s="1"/>
  <c r="T216" i="1"/>
  <c r="R92" i="2" s="1"/>
  <c r="S216" i="1"/>
  <c r="R78" i="2" s="1"/>
  <c r="Q216" i="1"/>
  <c r="R54" i="2" s="1"/>
  <c r="P216" i="1"/>
  <c r="R66" i="2" s="1"/>
  <c r="O216" i="1"/>
  <c r="R30" i="2" s="1"/>
  <c r="N216" i="1"/>
  <c r="R42" i="2" s="1"/>
  <c r="L216" i="1"/>
  <c r="R18" i="2" s="1"/>
  <c r="K216" i="1"/>
  <c r="R6" i="2" s="1"/>
  <c r="H216" i="1"/>
  <c r="R106" i="2" s="1"/>
  <c r="T215" i="1"/>
  <c r="R91" i="2" s="1"/>
  <c r="S215" i="1"/>
  <c r="R77" i="2" s="1"/>
  <c r="Q215" i="1"/>
  <c r="R53" i="2" s="1"/>
  <c r="P215" i="1"/>
  <c r="R65" i="2" s="1"/>
  <c r="O215" i="1"/>
  <c r="R29" i="2" s="1"/>
  <c r="N215" i="1"/>
  <c r="R41" i="2" s="1"/>
  <c r="L215" i="1"/>
  <c r="R17" i="2" s="1"/>
  <c r="K215" i="1"/>
  <c r="R5" i="2" s="1"/>
  <c r="H215" i="1"/>
  <c r="T214" i="1"/>
  <c r="R90" i="2" s="1"/>
  <c r="S214" i="1"/>
  <c r="R76" i="2" s="1"/>
  <c r="Q214" i="1"/>
  <c r="R52" i="2" s="1"/>
  <c r="P214" i="1"/>
  <c r="R64" i="2" s="1"/>
  <c r="O214" i="1"/>
  <c r="R28" i="2" s="1"/>
  <c r="N214" i="1"/>
  <c r="R40" i="2" s="1"/>
  <c r="L214" i="1"/>
  <c r="R16" i="2" s="1"/>
  <c r="K214" i="1"/>
  <c r="R4" i="2" s="1"/>
  <c r="H214" i="1"/>
  <c r="R104" i="2" s="1"/>
  <c r="T213" i="1"/>
  <c r="R89" i="2" s="1"/>
  <c r="S213" i="1"/>
  <c r="R75" i="2" s="1"/>
  <c r="Q213" i="1"/>
  <c r="R51" i="2" s="1"/>
  <c r="P213" i="1"/>
  <c r="R63" i="2" s="1"/>
  <c r="O213" i="1"/>
  <c r="R27" i="2" s="1"/>
  <c r="N213" i="1"/>
  <c r="R39" i="2" s="1"/>
  <c r="L213" i="1"/>
  <c r="R15" i="2" s="1"/>
  <c r="K213" i="1"/>
  <c r="R3" i="2" s="1"/>
  <c r="H213" i="1"/>
  <c r="R103" i="2" s="1"/>
  <c r="T210" i="1"/>
  <c r="Q100" i="2" s="1"/>
  <c r="S210" i="1"/>
  <c r="Q86" i="2" s="1"/>
  <c r="Q210" i="1"/>
  <c r="Q60" i="2" s="1"/>
  <c r="P210" i="1"/>
  <c r="Q72" i="2" s="1"/>
  <c r="O210" i="1"/>
  <c r="Q36" i="2" s="1"/>
  <c r="N210" i="1"/>
  <c r="Q48" i="2" s="1"/>
  <c r="L210" i="1"/>
  <c r="Q24" i="2" s="1"/>
  <c r="K210" i="1"/>
  <c r="Q12" i="2" s="1"/>
  <c r="H210" i="1"/>
  <c r="R210" i="1" s="1"/>
  <c r="T209" i="1"/>
  <c r="Q99" i="2" s="1"/>
  <c r="S209" i="1"/>
  <c r="Q85" i="2" s="1"/>
  <c r="Q209" i="1"/>
  <c r="Q59" i="2" s="1"/>
  <c r="P209" i="1"/>
  <c r="Q71" i="2" s="1"/>
  <c r="O209" i="1"/>
  <c r="Q35" i="2" s="1"/>
  <c r="N209" i="1"/>
  <c r="Q47" i="2" s="1"/>
  <c r="L209" i="1"/>
  <c r="Q23" i="2" s="1"/>
  <c r="H209" i="1"/>
  <c r="F144" i="2" s="1"/>
  <c r="G209" i="1"/>
  <c r="E144" i="2" s="1"/>
  <c r="T208" i="1"/>
  <c r="Q98" i="2" s="1"/>
  <c r="S208" i="1"/>
  <c r="Q84" i="2" s="1"/>
  <c r="Q208" i="1"/>
  <c r="Q58" i="2" s="1"/>
  <c r="P208" i="1"/>
  <c r="Q70" i="2" s="1"/>
  <c r="O208" i="1"/>
  <c r="Q34" i="2" s="1"/>
  <c r="N208" i="1"/>
  <c r="Q46" i="2" s="1"/>
  <c r="L208" i="1"/>
  <c r="Q22" i="2" s="1"/>
  <c r="K208" i="1"/>
  <c r="Q10" i="2" s="1"/>
  <c r="H208" i="1"/>
  <c r="Q112" i="2" s="1"/>
  <c r="T207" i="1"/>
  <c r="Q97" i="2" s="1"/>
  <c r="S207" i="1"/>
  <c r="Q83" i="2" s="1"/>
  <c r="Q207" i="1"/>
  <c r="P207" i="1"/>
  <c r="O207" i="1"/>
  <c r="N207" i="1"/>
  <c r="L207" i="1"/>
  <c r="K207" i="1"/>
  <c r="H207" i="1"/>
  <c r="Q111" i="2" s="1"/>
  <c r="T206" i="1"/>
  <c r="Q96" i="2" s="1"/>
  <c r="S206" i="1"/>
  <c r="Q82" i="2" s="1"/>
  <c r="Q206" i="1"/>
  <c r="P206" i="1"/>
  <c r="O206" i="1"/>
  <c r="N206" i="1"/>
  <c r="L206" i="1"/>
  <c r="K206" i="1"/>
  <c r="H206" i="1"/>
  <c r="Q110" i="2" s="1"/>
  <c r="T205" i="1"/>
  <c r="Q95" i="2" s="1"/>
  <c r="S205" i="1"/>
  <c r="Q81" i="2" s="1"/>
  <c r="Q205" i="1"/>
  <c r="P205" i="1"/>
  <c r="Q69" i="2" s="1"/>
  <c r="O205" i="1"/>
  <c r="N205" i="1"/>
  <c r="L205" i="1"/>
  <c r="K205" i="1"/>
  <c r="H205" i="1"/>
  <c r="T204" i="1"/>
  <c r="Q94" i="2" s="1"/>
  <c r="S204" i="1"/>
  <c r="Q80" i="2" s="1"/>
  <c r="Q204" i="1"/>
  <c r="Q56" i="2" s="1"/>
  <c r="P204" i="1"/>
  <c r="Q68" i="2" s="1"/>
  <c r="O204" i="1"/>
  <c r="Q32" i="2" s="1"/>
  <c r="N204" i="1"/>
  <c r="Q44" i="2" s="1"/>
  <c r="L204" i="1"/>
  <c r="Q20" i="2" s="1"/>
  <c r="K204" i="1"/>
  <c r="Q8" i="2" s="1"/>
  <c r="H204" i="1"/>
  <c r="Q108" i="2" s="1"/>
  <c r="T203" i="1"/>
  <c r="Q93" i="2" s="1"/>
  <c r="S203" i="1"/>
  <c r="Q79" i="2" s="1"/>
  <c r="Q203" i="1"/>
  <c r="Q55" i="2" s="1"/>
  <c r="P203" i="1"/>
  <c r="Q67" i="2" s="1"/>
  <c r="O203" i="1"/>
  <c r="Q31" i="2" s="1"/>
  <c r="N203" i="1"/>
  <c r="Q43" i="2" s="1"/>
  <c r="L203" i="1"/>
  <c r="Q19" i="2" s="1"/>
  <c r="K203" i="1"/>
  <c r="Q7" i="2" s="1"/>
  <c r="H203" i="1"/>
  <c r="Q107" i="2" s="1"/>
  <c r="T202" i="1"/>
  <c r="Q92" i="2" s="1"/>
  <c r="S202" i="1"/>
  <c r="Q78" i="2" s="1"/>
  <c r="Q202" i="1"/>
  <c r="Q54" i="2" s="1"/>
  <c r="P202" i="1"/>
  <c r="Q66" i="2" s="1"/>
  <c r="O202" i="1"/>
  <c r="Q30" i="2" s="1"/>
  <c r="N202" i="1"/>
  <c r="Q42" i="2" s="1"/>
  <c r="L202" i="1"/>
  <c r="Q18" i="2" s="1"/>
  <c r="K202" i="1"/>
  <c r="Q6" i="2" s="1"/>
  <c r="H202" i="1"/>
  <c r="Q106" i="2" s="1"/>
  <c r="T201" i="1"/>
  <c r="Q91" i="2" s="1"/>
  <c r="S201" i="1"/>
  <c r="Q77" i="2" s="1"/>
  <c r="Q201" i="1"/>
  <c r="Q53" i="2" s="1"/>
  <c r="P201" i="1"/>
  <c r="Q65" i="2" s="1"/>
  <c r="O201" i="1"/>
  <c r="Q29" i="2" s="1"/>
  <c r="N201" i="1"/>
  <c r="Q41" i="2" s="1"/>
  <c r="L201" i="1"/>
  <c r="Q17" i="2" s="1"/>
  <c r="K201" i="1"/>
  <c r="Q5" i="2" s="1"/>
  <c r="H201" i="1"/>
  <c r="T200" i="1"/>
  <c r="Q90" i="2" s="1"/>
  <c r="S200" i="1"/>
  <c r="Q76" i="2" s="1"/>
  <c r="Q200" i="1"/>
  <c r="Q52" i="2" s="1"/>
  <c r="P200" i="1"/>
  <c r="Q64" i="2" s="1"/>
  <c r="O200" i="1"/>
  <c r="Q28" i="2" s="1"/>
  <c r="N200" i="1"/>
  <c r="Q40" i="2" s="1"/>
  <c r="L200" i="1"/>
  <c r="Q16" i="2" s="1"/>
  <c r="K200" i="1"/>
  <c r="Q4" i="2" s="1"/>
  <c r="H200" i="1"/>
  <c r="Q104" i="2" s="1"/>
  <c r="T199" i="1"/>
  <c r="Q89" i="2" s="1"/>
  <c r="S199" i="1"/>
  <c r="Q75" i="2" s="1"/>
  <c r="Q199" i="1"/>
  <c r="Q51" i="2" s="1"/>
  <c r="P199" i="1"/>
  <c r="Q63" i="2" s="1"/>
  <c r="O199" i="1"/>
  <c r="Q27" i="2" s="1"/>
  <c r="N199" i="1"/>
  <c r="Q39" i="2" s="1"/>
  <c r="L199" i="1"/>
  <c r="Q15" i="2" s="1"/>
  <c r="K199" i="1"/>
  <c r="Q3" i="2" s="1"/>
  <c r="H199" i="1"/>
  <c r="Q103" i="2" s="1"/>
  <c r="W196" i="1"/>
  <c r="V196" i="1"/>
  <c r="T196" i="1"/>
  <c r="P100" i="2" s="1"/>
  <c r="S196" i="1"/>
  <c r="P86" i="2" s="1"/>
  <c r="Q196" i="1"/>
  <c r="P60" i="2" s="1"/>
  <c r="P196" i="1"/>
  <c r="P72" i="2" s="1"/>
  <c r="O196" i="1"/>
  <c r="P36" i="2" s="1"/>
  <c r="N196" i="1"/>
  <c r="P48" i="2" s="1"/>
  <c r="L196" i="1"/>
  <c r="K196" i="1"/>
  <c r="P12" i="2" s="1"/>
  <c r="H196" i="1"/>
  <c r="R196" i="1" s="1"/>
  <c r="W195" i="1"/>
  <c r="V195" i="1"/>
  <c r="T195" i="1"/>
  <c r="P99" i="2" s="1"/>
  <c r="S195" i="1"/>
  <c r="P85" i="2" s="1"/>
  <c r="Q195" i="1"/>
  <c r="P59" i="2" s="1"/>
  <c r="P195" i="1"/>
  <c r="P71" i="2" s="1"/>
  <c r="O195" i="1"/>
  <c r="P35" i="2" s="1"/>
  <c r="N195" i="1"/>
  <c r="P47" i="2" s="1"/>
  <c r="L195" i="1"/>
  <c r="H195" i="1"/>
  <c r="F142" i="2" s="1"/>
  <c r="F143" i="2" s="1"/>
  <c r="W194" i="1"/>
  <c r="V194" i="1"/>
  <c r="T194" i="1"/>
  <c r="P98" i="2" s="1"/>
  <c r="S194" i="1"/>
  <c r="P84" i="2" s="1"/>
  <c r="Q194" i="1"/>
  <c r="P58" i="2" s="1"/>
  <c r="P194" i="1"/>
  <c r="P70" i="2" s="1"/>
  <c r="O194" i="1"/>
  <c r="P34" i="2" s="1"/>
  <c r="N194" i="1"/>
  <c r="P46" i="2" s="1"/>
  <c r="L194" i="1"/>
  <c r="K194" i="1"/>
  <c r="P10" i="2" s="1"/>
  <c r="H194" i="1"/>
  <c r="P112" i="2" s="1"/>
  <c r="W193" i="1"/>
  <c r="V193" i="1"/>
  <c r="T193" i="1"/>
  <c r="P97" i="2" s="1"/>
  <c r="S193" i="1"/>
  <c r="P83" i="2" s="1"/>
  <c r="Q193" i="1"/>
  <c r="P193" i="1"/>
  <c r="O193" i="1"/>
  <c r="N193" i="1"/>
  <c r="L193" i="1"/>
  <c r="K193" i="1"/>
  <c r="H193" i="1"/>
  <c r="P111" i="2" s="1"/>
  <c r="W192" i="1"/>
  <c r="V192" i="1"/>
  <c r="T192" i="1"/>
  <c r="P96" i="2" s="1"/>
  <c r="S192" i="1"/>
  <c r="P82" i="2" s="1"/>
  <c r="Q192" i="1"/>
  <c r="P192" i="1"/>
  <c r="O192" i="1"/>
  <c r="N192" i="1"/>
  <c r="L192" i="1"/>
  <c r="K192" i="1"/>
  <c r="H192" i="1"/>
  <c r="P110" i="2" s="1"/>
  <c r="W191" i="1"/>
  <c r="V191" i="1"/>
  <c r="T191" i="1"/>
  <c r="P95" i="2" s="1"/>
  <c r="S191" i="1"/>
  <c r="P81" i="2" s="1"/>
  <c r="Q191" i="1"/>
  <c r="P191" i="1"/>
  <c r="P69" i="2" s="1"/>
  <c r="O191" i="1"/>
  <c r="N191" i="1"/>
  <c r="L191" i="1"/>
  <c r="H191" i="1"/>
  <c r="G191" i="1"/>
  <c r="P9" i="2" s="1"/>
  <c r="W190" i="1"/>
  <c r="V190" i="1"/>
  <c r="T190" i="1"/>
  <c r="P94" i="2" s="1"/>
  <c r="S190" i="1"/>
  <c r="P80" i="2" s="1"/>
  <c r="Q190" i="1"/>
  <c r="P56" i="2" s="1"/>
  <c r="P190" i="1"/>
  <c r="P68" i="2" s="1"/>
  <c r="O190" i="1"/>
  <c r="P32" i="2" s="1"/>
  <c r="N190" i="1"/>
  <c r="P44" i="2" s="1"/>
  <c r="L190" i="1"/>
  <c r="K190" i="1"/>
  <c r="P8" i="2" s="1"/>
  <c r="H190" i="1"/>
  <c r="P108" i="2" s="1"/>
  <c r="W189" i="1"/>
  <c r="V189" i="1"/>
  <c r="T189" i="1"/>
  <c r="P93" i="2" s="1"/>
  <c r="S189" i="1"/>
  <c r="P79" i="2" s="1"/>
  <c r="Q189" i="1"/>
  <c r="P55" i="2" s="1"/>
  <c r="P189" i="1"/>
  <c r="P67" i="2" s="1"/>
  <c r="O189" i="1"/>
  <c r="P31" i="2" s="1"/>
  <c r="N189" i="1"/>
  <c r="P43" i="2" s="1"/>
  <c r="L189" i="1"/>
  <c r="K189" i="1"/>
  <c r="P7" i="2" s="1"/>
  <c r="H189" i="1"/>
  <c r="P107" i="2" s="1"/>
  <c r="W188" i="1"/>
  <c r="V188" i="1"/>
  <c r="T188" i="1"/>
  <c r="P92" i="2" s="1"/>
  <c r="S188" i="1"/>
  <c r="P78" i="2" s="1"/>
  <c r="Q188" i="1"/>
  <c r="P54" i="2" s="1"/>
  <c r="P188" i="1"/>
  <c r="P66" i="2" s="1"/>
  <c r="O188" i="1"/>
  <c r="P30" i="2" s="1"/>
  <c r="N188" i="1"/>
  <c r="P42" i="2" s="1"/>
  <c r="L188" i="1"/>
  <c r="K188" i="1"/>
  <c r="P6" i="2" s="1"/>
  <c r="H188" i="1"/>
  <c r="P106" i="2" s="1"/>
  <c r="W187" i="1"/>
  <c r="V187" i="1"/>
  <c r="T187" i="1"/>
  <c r="P91" i="2" s="1"/>
  <c r="S187" i="1"/>
  <c r="P77" i="2" s="1"/>
  <c r="Q187" i="1"/>
  <c r="P53" i="2" s="1"/>
  <c r="P187" i="1"/>
  <c r="P65" i="2" s="1"/>
  <c r="O187" i="1"/>
  <c r="P29" i="2" s="1"/>
  <c r="N187" i="1"/>
  <c r="P41" i="2" s="1"/>
  <c r="L187" i="1"/>
  <c r="K187" i="1"/>
  <c r="P5" i="2" s="1"/>
  <c r="H187" i="1"/>
  <c r="W186" i="1"/>
  <c r="V186" i="1"/>
  <c r="T186" i="1"/>
  <c r="P90" i="2" s="1"/>
  <c r="S186" i="1"/>
  <c r="P76" i="2" s="1"/>
  <c r="Q186" i="1"/>
  <c r="P52" i="2" s="1"/>
  <c r="P186" i="1"/>
  <c r="P64" i="2" s="1"/>
  <c r="O186" i="1"/>
  <c r="P28" i="2" s="1"/>
  <c r="N186" i="1"/>
  <c r="P40" i="2" s="1"/>
  <c r="L186" i="1"/>
  <c r="K186" i="1"/>
  <c r="P4" i="2" s="1"/>
  <c r="H186" i="1"/>
  <c r="P104" i="2" s="1"/>
  <c r="W185" i="1"/>
  <c r="V185" i="1"/>
  <c r="T185" i="1"/>
  <c r="P89" i="2" s="1"/>
  <c r="S185" i="1"/>
  <c r="P75" i="2" s="1"/>
  <c r="Q185" i="1"/>
  <c r="P51" i="2" s="1"/>
  <c r="P185" i="1"/>
  <c r="P63" i="2" s="1"/>
  <c r="O185" i="1"/>
  <c r="P27" i="2" s="1"/>
  <c r="N185" i="1"/>
  <c r="P39" i="2" s="1"/>
  <c r="L185" i="1"/>
  <c r="K185" i="1"/>
  <c r="P3" i="2" s="1"/>
  <c r="H185" i="1"/>
  <c r="P103" i="2" s="1"/>
  <c r="T182" i="1"/>
  <c r="O100" i="2" s="1"/>
  <c r="S182" i="1"/>
  <c r="O86" i="2" s="1"/>
  <c r="Q182" i="1"/>
  <c r="O60" i="2" s="1"/>
  <c r="P182" i="1"/>
  <c r="O72" i="2" s="1"/>
  <c r="O182" i="1"/>
  <c r="O36" i="2" s="1"/>
  <c r="N182" i="1"/>
  <c r="O48" i="2" s="1"/>
  <c r="L182" i="1"/>
  <c r="O24" i="2" s="1"/>
  <c r="K182" i="1"/>
  <c r="O12" i="2" s="1"/>
  <c r="H182" i="1"/>
  <c r="R182" i="1" s="1"/>
  <c r="T181" i="1"/>
  <c r="O99" i="2" s="1"/>
  <c r="S181" i="1"/>
  <c r="O85" i="2" s="1"/>
  <c r="Q181" i="1"/>
  <c r="O59" i="2" s="1"/>
  <c r="P181" i="1"/>
  <c r="O71" i="2" s="1"/>
  <c r="O181" i="1"/>
  <c r="O35" i="2" s="1"/>
  <c r="N181" i="1"/>
  <c r="O47" i="2" s="1"/>
  <c r="L181" i="1"/>
  <c r="O23" i="2" s="1"/>
  <c r="H181" i="1"/>
  <c r="F141" i="2" s="1"/>
  <c r="T180" i="1"/>
  <c r="O98" i="2" s="1"/>
  <c r="S180" i="1"/>
  <c r="O84" i="2" s="1"/>
  <c r="Q180" i="1"/>
  <c r="O58" i="2" s="1"/>
  <c r="P180" i="1"/>
  <c r="O70" i="2" s="1"/>
  <c r="O180" i="1"/>
  <c r="O34" i="2" s="1"/>
  <c r="N180" i="1"/>
  <c r="O46" i="2" s="1"/>
  <c r="L180" i="1"/>
  <c r="O22" i="2" s="1"/>
  <c r="K180" i="1"/>
  <c r="O10" i="2" s="1"/>
  <c r="H180" i="1"/>
  <c r="O112" i="2" s="1"/>
  <c r="T179" i="1"/>
  <c r="O97" i="2" s="1"/>
  <c r="S179" i="1"/>
  <c r="O83" i="2" s="1"/>
  <c r="Q179" i="1"/>
  <c r="P179" i="1"/>
  <c r="O179" i="1"/>
  <c r="N179" i="1"/>
  <c r="L179" i="1"/>
  <c r="K179" i="1"/>
  <c r="H179" i="1"/>
  <c r="O111" i="2" s="1"/>
  <c r="T178" i="1"/>
  <c r="O96" i="2" s="1"/>
  <c r="S178" i="1"/>
  <c r="O82" i="2" s="1"/>
  <c r="Q178" i="1"/>
  <c r="P178" i="1"/>
  <c r="O178" i="1"/>
  <c r="N178" i="1"/>
  <c r="L178" i="1"/>
  <c r="K178" i="1"/>
  <c r="H178" i="1"/>
  <c r="O110" i="2" s="1"/>
  <c r="T177" i="1"/>
  <c r="O95" i="2" s="1"/>
  <c r="S177" i="1"/>
  <c r="O81" i="2" s="1"/>
  <c r="Q177" i="1"/>
  <c r="P177" i="1"/>
  <c r="O69" i="2" s="1"/>
  <c r="O177" i="1"/>
  <c r="N177" i="1"/>
  <c r="L177" i="1"/>
  <c r="H177" i="1"/>
  <c r="G177" i="1"/>
  <c r="O9" i="2" s="1"/>
  <c r="T176" i="1"/>
  <c r="O94" i="2" s="1"/>
  <c r="S176" i="1"/>
  <c r="O80" i="2" s="1"/>
  <c r="Q176" i="1"/>
  <c r="O56" i="2" s="1"/>
  <c r="P176" i="1"/>
  <c r="O68" i="2" s="1"/>
  <c r="O176" i="1"/>
  <c r="O32" i="2" s="1"/>
  <c r="N176" i="1"/>
  <c r="O44" i="2" s="1"/>
  <c r="L176" i="1"/>
  <c r="O20" i="2" s="1"/>
  <c r="K176" i="1"/>
  <c r="O8" i="2" s="1"/>
  <c r="H176" i="1"/>
  <c r="O108" i="2" s="1"/>
  <c r="T175" i="1"/>
  <c r="O93" i="2" s="1"/>
  <c r="S175" i="1"/>
  <c r="O79" i="2" s="1"/>
  <c r="Q175" i="1"/>
  <c r="O55" i="2" s="1"/>
  <c r="P175" i="1"/>
  <c r="O67" i="2" s="1"/>
  <c r="O175" i="1"/>
  <c r="O31" i="2" s="1"/>
  <c r="N175" i="1"/>
  <c r="O43" i="2" s="1"/>
  <c r="L175" i="1"/>
  <c r="O19" i="2" s="1"/>
  <c r="K175" i="1"/>
  <c r="O7" i="2" s="1"/>
  <c r="H175" i="1"/>
  <c r="O107" i="2" s="1"/>
  <c r="T174" i="1"/>
  <c r="O92" i="2" s="1"/>
  <c r="S174" i="1"/>
  <c r="O78" i="2" s="1"/>
  <c r="Q174" i="1"/>
  <c r="O54" i="2" s="1"/>
  <c r="P174" i="1"/>
  <c r="O66" i="2" s="1"/>
  <c r="O174" i="1"/>
  <c r="O30" i="2" s="1"/>
  <c r="N174" i="1"/>
  <c r="O42" i="2" s="1"/>
  <c r="L174" i="1"/>
  <c r="O18" i="2" s="1"/>
  <c r="K174" i="1"/>
  <c r="O6" i="2" s="1"/>
  <c r="H174" i="1"/>
  <c r="O106" i="2" s="1"/>
  <c r="T173" i="1"/>
  <c r="O91" i="2" s="1"/>
  <c r="S173" i="1"/>
  <c r="O77" i="2" s="1"/>
  <c r="Q173" i="1"/>
  <c r="O53" i="2" s="1"/>
  <c r="P173" i="1"/>
  <c r="O65" i="2" s="1"/>
  <c r="O173" i="1"/>
  <c r="O29" i="2" s="1"/>
  <c r="N173" i="1"/>
  <c r="O41" i="2" s="1"/>
  <c r="L173" i="1"/>
  <c r="O17" i="2" s="1"/>
  <c r="K173" i="1"/>
  <c r="O5" i="2" s="1"/>
  <c r="H173" i="1"/>
  <c r="T172" i="1"/>
  <c r="O90" i="2" s="1"/>
  <c r="S172" i="1"/>
  <c r="O76" i="2" s="1"/>
  <c r="Q172" i="1"/>
  <c r="O52" i="2" s="1"/>
  <c r="P172" i="1"/>
  <c r="O64" i="2" s="1"/>
  <c r="O172" i="1"/>
  <c r="O28" i="2" s="1"/>
  <c r="N172" i="1"/>
  <c r="O40" i="2" s="1"/>
  <c r="L172" i="1"/>
  <c r="O16" i="2" s="1"/>
  <c r="K172" i="1"/>
  <c r="O4" i="2" s="1"/>
  <c r="H172" i="1"/>
  <c r="O104" i="2" s="1"/>
  <c r="T171" i="1"/>
  <c r="O89" i="2" s="1"/>
  <c r="S171" i="1"/>
  <c r="O75" i="2" s="1"/>
  <c r="Q171" i="1"/>
  <c r="O51" i="2" s="1"/>
  <c r="P171" i="1"/>
  <c r="O63" i="2" s="1"/>
  <c r="O171" i="1"/>
  <c r="O27" i="2" s="1"/>
  <c r="N171" i="1"/>
  <c r="O39" i="2" s="1"/>
  <c r="L171" i="1"/>
  <c r="O15" i="2" s="1"/>
  <c r="K171" i="1"/>
  <c r="O3" i="2" s="1"/>
  <c r="H171" i="1"/>
  <c r="O103" i="2" s="1"/>
  <c r="T168" i="1"/>
  <c r="N100" i="2" s="1"/>
  <c r="S168" i="1"/>
  <c r="N86" i="2" s="1"/>
  <c r="Q168" i="1"/>
  <c r="N60" i="2" s="1"/>
  <c r="P168" i="1"/>
  <c r="N72" i="2" s="1"/>
  <c r="O168" i="1"/>
  <c r="N36" i="2" s="1"/>
  <c r="N168" i="1"/>
  <c r="N48" i="2" s="1"/>
  <c r="L168" i="1"/>
  <c r="N24" i="2" s="1"/>
  <c r="K168" i="1"/>
  <c r="N12" i="2" s="1"/>
  <c r="H168" i="1"/>
  <c r="R168" i="1" s="1"/>
  <c r="T167" i="1"/>
  <c r="N99" i="2" s="1"/>
  <c r="S167" i="1"/>
  <c r="N85" i="2" s="1"/>
  <c r="Q167" i="1"/>
  <c r="N59" i="2" s="1"/>
  <c r="P167" i="1"/>
  <c r="N71" i="2" s="1"/>
  <c r="O167" i="1"/>
  <c r="N35" i="2" s="1"/>
  <c r="N167" i="1"/>
  <c r="N47" i="2" s="1"/>
  <c r="L167" i="1"/>
  <c r="N23" i="2" s="1"/>
  <c r="H167" i="1"/>
  <c r="F140" i="2" s="1"/>
  <c r="T166" i="1"/>
  <c r="N98" i="2" s="1"/>
  <c r="S166" i="1"/>
  <c r="N84" i="2" s="1"/>
  <c r="Q166" i="1"/>
  <c r="N58" i="2" s="1"/>
  <c r="P166" i="1"/>
  <c r="N70" i="2" s="1"/>
  <c r="O166" i="1"/>
  <c r="N34" i="2" s="1"/>
  <c r="N166" i="1"/>
  <c r="N46" i="2" s="1"/>
  <c r="L166" i="1"/>
  <c r="N22" i="2" s="1"/>
  <c r="K166" i="1"/>
  <c r="N10" i="2" s="1"/>
  <c r="H166" i="1"/>
  <c r="N112" i="2" s="1"/>
  <c r="T165" i="1"/>
  <c r="N97" i="2" s="1"/>
  <c r="S165" i="1"/>
  <c r="N83" i="2" s="1"/>
  <c r="Q165" i="1"/>
  <c r="P165" i="1"/>
  <c r="O165" i="1"/>
  <c r="N165" i="1"/>
  <c r="L165" i="1"/>
  <c r="K165" i="1"/>
  <c r="H165" i="1"/>
  <c r="N111" i="2" s="1"/>
  <c r="T164" i="1"/>
  <c r="N96" i="2" s="1"/>
  <c r="S164" i="1"/>
  <c r="N82" i="2" s="1"/>
  <c r="Q164" i="1"/>
  <c r="P164" i="1"/>
  <c r="O164" i="1"/>
  <c r="N164" i="1"/>
  <c r="L164" i="1"/>
  <c r="K164" i="1"/>
  <c r="H164" i="1"/>
  <c r="N110" i="2" s="1"/>
  <c r="T163" i="1"/>
  <c r="N95" i="2" s="1"/>
  <c r="S163" i="1"/>
  <c r="N81" i="2" s="1"/>
  <c r="Q163" i="1"/>
  <c r="P163" i="1"/>
  <c r="N69" i="2" s="1"/>
  <c r="O163" i="1"/>
  <c r="N163" i="1"/>
  <c r="L163" i="1"/>
  <c r="H163" i="1"/>
  <c r="G163" i="1"/>
  <c r="N9" i="2" s="1"/>
  <c r="T162" i="1"/>
  <c r="N94" i="2" s="1"/>
  <c r="S162" i="1"/>
  <c r="N80" i="2" s="1"/>
  <c r="Q162" i="1"/>
  <c r="N56" i="2" s="1"/>
  <c r="P162" i="1"/>
  <c r="N68" i="2" s="1"/>
  <c r="O162" i="1"/>
  <c r="N32" i="2" s="1"/>
  <c r="N162" i="1"/>
  <c r="N44" i="2" s="1"/>
  <c r="L162" i="1"/>
  <c r="N20" i="2" s="1"/>
  <c r="K162" i="1"/>
  <c r="N8" i="2" s="1"/>
  <c r="H162" i="1"/>
  <c r="N108" i="2" s="1"/>
  <c r="T161" i="1"/>
  <c r="N93" i="2" s="1"/>
  <c r="S161" i="1"/>
  <c r="N79" i="2" s="1"/>
  <c r="Q161" i="1"/>
  <c r="N55" i="2" s="1"/>
  <c r="P161" i="1"/>
  <c r="N67" i="2" s="1"/>
  <c r="O161" i="1"/>
  <c r="N31" i="2" s="1"/>
  <c r="N161" i="1"/>
  <c r="N43" i="2" s="1"/>
  <c r="L161" i="1"/>
  <c r="N19" i="2" s="1"/>
  <c r="K161" i="1"/>
  <c r="N7" i="2" s="1"/>
  <c r="H161" i="1"/>
  <c r="N107" i="2" s="1"/>
  <c r="T160" i="1"/>
  <c r="N92" i="2" s="1"/>
  <c r="S160" i="1"/>
  <c r="N78" i="2" s="1"/>
  <c r="Q160" i="1"/>
  <c r="N54" i="2" s="1"/>
  <c r="P160" i="1"/>
  <c r="N66" i="2" s="1"/>
  <c r="O160" i="1"/>
  <c r="N30" i="2" s="1"/>
  <c r="N160" i="1"/>
  <c r="N42" i="2" s="1"/>
  <c r="L160" i="1"/>
  <c r="N18" i="2" s="1"/>
  <c r="K160" i="1"/>
  <c r="N6" i="2" s="1"/>
  <c r="H160" i="1"/>
  <c r="N106" i="2" s="1"/>
  <c r="T159" i="1"/>
  <c r="N91" i="2" s="1"/>
  <c r="S159" i="1"/>
  <c r="N77" i="2" s="1"/>
  <c r="Q159" i="1"/>
  <c r="N53" i="2" s="1"/>
  <c r="P159" i="1"/>
  <c r="N65" i="2" s="1"/>
  <c r="O159" i="1"/>
  <c r="N29" i="2" s="1"/>
  <c r="N159" i="1"/>
  <c r="N41" i="2" s="1"/>
  <c r="L159" i="1"/>
  <c r="N17" i="2" s="1"/>
  <c r="K159" i="1"/>
  <c r="N5" i="2" s="1"/>
  <c r="H159" i="1"/>
  <c r="T158" i="1"/>
  <c r="N90" i="2" s="1"/>
  <c r="S158" i="1"/>
  <c r="N76" i="2" s="1"/>
  <c r="Q158" i="1"/>
  <c r="N52" i="2" s="1"/>
  <c r="P158" i="1"/>
  <c r="N64" i="2" s="1"/>
  <c r="O158" i="1"/>
  <c r="N28" i="2" s="1"/>
  <c r="N158" i="1"/>
  <c r="N40" i="2" s="1"/>
  <c r="L158" i="1"/>
  <c r="N16" i="2" s="1"/>
  <c r="K158" i="1"/>
  <c r="N4" i="2" s="1"/>
  <c r="H158" i="1"/>
  <c r="N104" i="2" s="1"/>
  <c r="T157" i="1"/>
  <c r="N89" i="2" s="1"/>
  <c r="S157" i="1"/>
  <c r="N75" i="2" s="1"/>
  <c r="Q157" i="1"/>
  <c r="N51" i="2" s="1"/>
  <c r="P157" i="1"/>
  <c r="N63" i="2" s="1"/>
  <c r="O157" i="1"/>
  <c r="N27" i="2" s="1"/>
  <c r="N157" i="1"/>
  <c r="N39" i="2" s="1"/>
  <c r="L157" i="1"/>
  <c r="N15" i="2" s="1"/>
  <c r="K157" i="1"/>
  <c r="N3" i="2" s="1"/>
  <c r="H157" i="1"/>
  <c r="N103" i="2" s="1"/>
  <c r="T154" i="1"/>
  <c r="M100" i="2" s="1"/>
  <c r="S154" i="1"/>
  <c r="M86" i="2" s="1"/>
  <c r="Q154" i="1"/>
  <c r="M60" i="2" s="1"/>
  <c r="P154" i="1"/>
  <c r="M72" i="2" s="1"/>
  <c r="O154" i="1"/>
  <c r="M36" i="2" s="1"/>
  <c r="N154" i="1"/>
  <c r="M48" i="2" s="1"/>
  <c r="L154" i="1"/>
  <c r="M24" i="2" s="1"/>
  <c r="K154" i="1"/>
  <c r="M12" i="2" s="1"/>
  <c r="H154" i="1"/>
  <c r="R154" i="1" s="1"/>
  <c r="T153" i="1"/>
  <c r="M99" i="2" s="1"/>
  <c r="S153" i="1"/>
  <c r="M85" i="2" s="1"/>
  <c r="Q153" i="1"/>
  <c r="M59" i="2" s="1"/>
  <c r="P153" i="1"/>
  <c r="M71" i="2" s="1"/>
  <c r="O153" i="1"/>
  <c r="M35" i="2" s="1"/>
  <c r="N153" i="1"/>
  <c r="M47" i="2" s="1"/>
  <c r="L153" i="1"/>
  <c r="M23" i="2" s="1"/>
  <c r="H153" i="1"/>
  <c r="F139" i="2" s="1"/>
  <c r="T152" i="1"/>
  <c r="M98" i="2" s="1"/>
  <c r="S152" i="1"/>
  <c r="M84" i="2" s="1"/>
  <c r="Q152" i="1"/>
  <c r="M58" i="2" s="1"/>
  <c r="P152" i="1"/>
  <c r="M70" i="2" s="1"/>
  <c r="O152" i="1"/>
  <c r="M34" i="2" s="1"/>
  <c r="N152" i="1"/>
  <c r="M46" i="2" s="1"/>
  <c r="L152" i="1"/>
  <c r="M22" i="2" s="1"/>
  <c r="K152" i="1"/>
  <c r="M10" i="2" s="1"/>
  <c r="H152" i="1"/>
  <c r="M112" i="2" s="1"/>
  <c r="T151" i="1"/>
  <c r="M97" i="2" s="1"/>
  <c r="S151" i="1"/>
  <c r="M83" i="2" s="1"/>
  <c r="Q151" i="1"/>
  <c r="P151" i="1"/>
  <c r="O151" i="1"/>
  <c r="N151" i="1"/>
  <c r="L151" i="1"/>
  <c r="K151" i="1"/>
  <c r="H151" i="1"/>
  <c r="M111" i="2" s="1"/>
  <c r="T150" i="1"/>
  <c r="M96" i="2" s="1"/>
  <c r="S150" i="1"/>
  <c r="M82" i="2" s="1"/>
  <c r="Q150" i="1"/>
  <c r="P150" i="1"/>
  <c r="O150" i="1"/>
  <c r="N150" i="1"/>
  <c r="L150" i="1"/>
  <c r="K150" i="1"/>
  <c r="H150" i="1"/>
  <c r="M110" i="2" s="1"/>
  <c r="T149" i="1"/>
  <c r="M95" i="2" s="1"/>
  <c r="S149" i="1"/>
  <c r="M81" i="2" s="1"/>
  <c r="Q149" i="1"/>
  <c r="P149" i="1"/>
  <c r="M69" i="2" s="1"/>
  <c r="O149" i="1"/>
  <c r="N149" i="1"/>
  <c r="L149" i="1"/>
  <c r="H149" i="1"/>
  <c r="M109" i="2" s="1"/>
  <c r="G149" i="1"/>
  <c r="M9" i="2" s="1"/>
  <c r="T148" i="1"/>
  <c r="M94" i="2" s="1"/>
  <c r="S148" i="1"/>
  <c r="M80" i="2" s="1"/>
  <c r="Q148" i="1"/>
  <c r="M56" i="2" s="1"/>
  <c r="P148" i="1"/>
  <c r="M68" i="2" s="1"/>
  <c r="O148" i="1"/>
  <c r="M32" i="2" s="1"/>
  <c r="N148" i="1"/>
  <c r="M44" i="2" s="1"/>
  <c r="L148" i="1"/>
  <c r="M20" i="2" s="1"/>
  <c r="K148" i="1"/>
  <c r="M8" i="2" s="1"/>
  <c r="H148" i="1"/>
  <c r="M108" i="2" s="1"/>
  <c r="T147" i="1"/>
  <c r="M93" i="2" s="1"/>
  <c r="S147" i="1"/>
  <c r="M79" i="2" s="1"/>
  <c r="Q147" i="1"/>
  <c r="M55" i="2" s="1"/>
  <c r="P147" i="1"/>
  <c r="M67" i="2" s="1"/>
  <c r="O147" i="1"/>
  <c r="M31" i="2" s="1"/>
  <c r="N147" i="1"/>
  <c r="M43" i="2" s="1"/>
  <c r="L147" i="1"/>
  <c r="M19" i="2" s="1"/>
  <c r="K147" i="1"/>
  <c r="M7" i="2" s="1"/>
  <c r="H147" i="1"/>
  <c r="M107" i="2" s="1"/>
  <c r="T146" i="1"/>
  <c r="M92" i="2" s="1"/>
  <c r="S146" i="1"/>
  <c r="M78" i="2" s="1"/>
  <c r="Q146" i="1"/>
  <c r="M54" i="2" s="1"/>
  <c r="P146" i="1"/>
  <c r="M66" i="2" s="1"/>
  <c r="O146" i="1"/>
  <c r="M30" i="2" s="1"/>
  <c r="N146" i="1"/>
  <c r="M42" i="2" s="1"/>
  <c r="L146" i="1"/>
  <c r="M18" i="2" s="1"/>
  <c r="K146" i="1"/>
  <c r="M6" i="2" s="1"/>
  <c r="H146" i="1"/>
  <c r="M106" i="2" s="1"/>
  <c r="T145" i="1"/>
  <c r="M91" i="2" s="1"/>
  <c r="S145" i="1"/>
  <c r="M77" i="2" s="1"/>
  <c r="Q145" i="1"/>
  <c r="M53" i="2" s="1"/>
  <c r="P145" i="1"/>
  <c r="M65" i="2" s="1"/>
  <c r="O145" i="1"/>
  <c r="M29" i="2" s="1"/>
  <c r="N145" i="1"/>
  <c r="M41" i="2" s="1"/>
  <c r="L145" i="1"/>
  <c r="M17" i="2" s="1"/>
  <c r="K145" i="1"/>
  <c r="M5" i="2" s="1"/>
  <c r="H145" i="1"/>
  <c r="T144" i="1"/>
  <c r="M90" i="2" s="1"/>
  <c r="S144" i="1"/>
  <c r="M76" i="2" s="1"/>
  <c r="Q144" i="1"/>
  <c r="M52" i="2" s="1"/>
  <c r="P144" i="1"/>
  <c r="M64" i="2" s="1"/>
  <c r="O144" i="1"/>
  <c r="M28" i="2" s="1"/>
  <c r="N144" i="1"/>
  <c r="M40" i="2" s="1"/>
  <c r="L144" i="1"/>
  <c r="M16" i="2" s="1"/>
  <c r="K144" i="1"/>
  <c r="M4" i="2" s="1"/>
  <c r="H144" i="1"/>
  <c r="M104" i="2" s="1"/>
  <c r="T143" i="1"/>
  <c r="M89" i="2" s="1"/>
  <c r="S143" i="1"/>
  <c r="M75" i="2" s="1"/>
  <c r="Q143" i="1"/>
  <c r="M51" i="2" s="1"/>
  <c r="P143" i="1"/>
  <c r="M63" i="2" s="1"/>
  <c r="O143" i="1"/>
  <c r="M27" i="2" s="1"/>
  <c r="N143" i="1"/>
  <c r="M39" i="2" s="1"/>
  <c r="L143" i="1"/>
  <c r="M15" i="2" s="1"/>
  <c r="K143" i="1"/>
  <c r="M3" i="2" s="1"/>
  <c r="H143" i="1"/>
  <c r="M103" i="2" s="1"/>
  <c r="T140" i="1"/>
  <c r="L100" i="2" s="1"/>
  <c r="S140" i="1"/>
  <c r="L86" i="2" s="1"/>
  <c r="Q140" i="1"/>
  <c r="L60" i="2" s="1"/>
  <c r="P140" i="1"/>
  <c r="L72" i="2" s="1"/>
  <c r="O140" i="1"/>
  <c r="L36" i="2" s="1"/>
  <c r="N140" i="1"/>
  <c r="L48" i="2" s="1"/>
  <c r="L140" i="1"/>
  <c r="L24" i="2" s="1"/>
  <c r="K140" i="1"/>
  <c r="L12" i="2" s="1"/>
  <c r="H140" i="1"/>
  <c r="R140" i="1" s="1"/>
  <c r="T139" i="1"/>
  <c r="L99" i="2" s="1"/>
  <c r="S139" i="1"/>
  <c r="L85" i="2" s="1"/>
  <c r="Q139" i="1"/>
  <c r="L59" i="2" s="1"/>
  <c r="P139" i="1"/>
  <c r="L71" i="2" s="1"/>
  <c r="O139" i="1"/>
  <c r="L35" i="2" s="1"/>
  <c r="N139" i="1"/>
  <c r="L47" i="2" s="1"/>
  <c r="L139" i="1"/>
  <c r="L23" i="2" s="1"/>
  <c r="H139" i="1"/>
  <c r="F138" i="2" s="1"/>
  <c r="T138" i="1"/>
  <c r="L98" i="2" s="1"/>
  <c r="S138" i="1"/>
  <c r="L84" i="2" s="1"/>
  <c r="Q138" i="1"/>
  <c r="L58" i="2" s="1"/>
  <c r="P138" i="1"/>
  <c r="L70" i="2" s="1"/>
  <c r="O138" i="1"/>
  <c r="L34" i="2" s="1"/>
  <c r="N138" i="1"/>
  <c r="L46" i="2" s="1"/>
  <c r="L138" i="1"/>
  <c r="L22" i="2" s="1"/>
  <c r="K138" i="1"/>
  <c r="L10" i="2" s="1"/>
  <c r="H138" i="1"/>
  <c r="L112" i="2" s="1"/>
  <c r="T137" i="1"/>
  <c r="L97" i="2" s="1"/>
  <c r="S137" i="1"/>
  <c r="L83" i="2" s="1"/>
  <c r="Q137" i="1"/>
  <c r="P137" i="1"/>
  <c r="O137" i="1"/>
  <c r="N137" i="1"/>
  <c r="L137" i="1"/>
  <c r="K137" i="1"/>
  <c r="H137" i="1"/>
  <c r="L111" i="2" s="1"/>
  <c r="T136" i="1"/>
  <c r="L96" i="2" s="1"/>
  <c r="S136" i="1"/>
  <c r="L82" i="2" s="1"/>
  <c r="Q136" i="1"/>
  <c r="P136" i="1"/>
  <c r="O136" i="1"/>
  <c r="N136" i="1"/>
  <c r="L136" i="1"/>
  <c r="K136" i="1"/>
  <c r="H136" i="1"/>
  <c r="L110" i="2" s="1"/>
  <c r="T135" i="1"/>
  <c r="L95" i="2" s="1"/>
  <c r="S135" i="1"/>
  <c r="L81" i="2" s="1"/>
  <c r="Q135" i="1"/>
  <c r="P135" i="1"/>
  <c r="L69" i="2" s="1"/>
  <c r="O135" i="1"/>
  <c r="N135" i="1"/>
  <c r="L135" i="1"/>
  <c r="H135" i="1"/>
  <c r="L109" i="2" s="1"/>
  <c r="G135" i="1"/>
  <c r="L9" i="2" s="1"/>
  <c r="T134" i="1"/>
  <c r="L94" i="2" s="1"/>
  <c r="S134" i="1"/>
  <c r="L80" i="2" s="1"/>
  <c r="Q134" i="1"/>
  <c r="L56" i="2" s="1"/>
  <c r="P134" i="1"/>
  <c r="L68" i="2" s="1"/>
  <c r="O134" i="1"/>
  <c r="L32" i="2" s="1"/>
  <c r="N134" i="1"/>
  <c r="L44" i="2" s="1"/>
  <c r="L134" i="1"/>
  <c r="L20" i="2" s="1"/>
  <c r="K134" i="1"/>
  <c r="L8" i="2" s="1"/>
  <c r="H134" i="1"/>
  <c r="L108" i="2" s="1"/>
  <c r="T133" i="1"/>
  <c r="L93" i="2" s="1"/>
  <c r="S133" i="1"/>
  <c r="L79" i="2" s="1"/>
  <c r="Q133" i="1"/>
  <c r="L55" i="2" s="1"/>
  <c r="P133" i="1"/>
  <c r="L67" i="2" s="1"/>
  <c r="O133" i="1"/>
  <c r="L31" i="2" s="1"/>
  <c r="N133" i="1"/>
  <c r="L43" i="2" s="1"/>
  <c r="L133" i="1"/>
  <c r="L19" i="2" s="1"/>
  <c r="K133" i="1"/>
  <c r="L7" i="2" s="1"/>
  <c r="H133" i="1"/>
  <c r="L107" i="2" s="1"/>
  <c r="T132" i="1"/>
  <c r="L92" i="2" s="1"/>
  <c r="S132" i="1"/>
  <c r="L78" i="2" s="1"/>
  <c r="Q132" i="1"/>
  <c r="L54" i="2" s="1"/>
  <c r="P132" i="1"/>
  <c r="L66" i="2" s="1"/>
  <c r="O132" i="1"/>
  <c r="L30" i="2" s="1"/>
  <c r="N132" i="1"/>
  <c r="L42" i="2" s="1"/>
  <c r="L132" i="1"/>
  <c r="L18" i="2" s="1"/>
  <c r="K132" i="1"/>
  <c r="L6" i="2" s="1"/>
  <c r="H132" i="1"/>
  <c r="L106" i="2" s="1"/>
  <c r="T131" i="1"/>
  <c r="L91" i="2" s="1"/>
  <c r="S131" i="1"/>
  <c r="L77" i="2" s="1"/>
  <c r="Q131" i="1"/>
  <c r="L53" i="2" s="1"/>
  <c r="P131" i="1"/>
  <c r="L65" i="2" s="1"/>
  <c r="O131" i="1"/>
  <c r="L29" i="2" s="1"/>
  <c r="N131" i="1"/>
  <c r="L41" i="2" s="1"/>
  <c r="L131" i="1"/>
  <c r="L17" i="2" s="1"/>
  <c r="K131" i="1"/>
  <c r="L5" i="2" s="1"/>
  <c r="H131" i="1"/>
  <c r="T130" i="1"/>
  <c r="L90" i="2" s="1"/>
  <c r="S130" i="1"/>
  <c r="L76" i="2" s="1"/>
  <c r="Q130" i="1"/>
  <c r="L52" i="2" s="1"/>
  <c r="P130" i="1"/>
  <c r="L64" i="2" s="1"/>
  <c r="O130" i="1"/>
  <c r="L28" i="2" s="1"/>
  <c r="N130" i="1"/>
  <c r="L40" i="2" s="1"/>
  <c r="L130" i="1"/>
  <c r="L16" i="2" s="1"/>
  <c r="K130" i="1"/>
  <c r="L4" i="2" s="1"/>
  <c r="H130" i="1"/>
  <c r="L104" i="2" s="1"/>
  <c r="T129" i="1"/>
  <c r="L89" i="2" s="1"/>
  <c r="S129" i="1"/>
  <c r="L75" i="2" s="1"/>
  <c r="Q129" i="1"/>
  <c r="L51" i="2" s="1"/>
  <c r="P129" i="1"/>
  <c r="L63" i="2" s="1"/>
  <c r="O129" i="1"/>
  <c r="L27" i="2" s="1"/>
  <c r="N129" i="1"/>
  <c r="L39" i="2" s="1"/>
  <c r="L129" i="1"/>
  <c r="L15" i="2" s="1"/>
  <c r="K129" i="1"/>
  <c r="L3" i="2" s="1"/>
  <c r="H129" i="1"/>
  <c r="L103" i="2" s="1"/>
  <c r="T126" i="1"/>
  <c r="K100" i="2" s="1"/>
  <c r="S126" i="1"/>
  <c r="K86" i="2" s="1"/>
  <c r="Q126" i="1"/>
  <c r="K60" i="2" s="1"/>
  <c r="P126" i="1"/>
  <c r="K72" i="2" s="1"/>
  <c r="O126" i="1"/>
  <c r="K36" i="2" s="1"/>
  <c r="N126" i="1"/>
  <c r="K48" i="2" s="1"/>
  <c r="L126" i="1"/>
  <c r="K24" i="2" s="1"/>
  <c r="K126" i="1"/>
  <c r="K12" i="2" s="1"/>
  <c r="H126" i="1"/>
  <c r="R126" i="1" s="1"/>
  <c r="T125" i="1"/>
  <c r="K99" i="2" s="1"/>
  <c r="S125" i="1"/>
  <c r="K85" i="2" s="1"/>
  <c r="Q125" i="1"/>
  <c r="K59" i="2" s="1"/>
  <c r="P125" i="1"/>
  <c r="K71" i="2" s="1"/>
  <c r="O125" i="1"/>
  <c r="K35" i="2" s="1"/>
  <c r="N125" i="1"/>
  <c r="K47" i="2" s="1"/>
  <c r="L125" i="1"/>
  <c r="K23" i="2" s="1"/>
  <c r="H125" i="1"/>
  <c r="F137" i="2" s="1"/>
  <c r="T124" i="1"/>
  <c r="K98" i="2" s="1"/>
  <c r="S124" i="1"/>
  <c r="K84" i="2" s="1"/>
  <c r="Q124" i="1"/>
  <c r="K58" i="2" s="1"/>
  <c r="P124" i="1"/>
  <c r="K70" i="2" s="1"/>
  <c r="O124" i="1"/>
  <c r="K34" i="2" s="1"/>
  <c r="N124" i="1"/>
  <c r="K46" i="2" s="1"/>
  <c r="L124" i="1"/>
  <c r="K22" i="2" s="1"/>
  <c r="K124" i="1"/>
  <c r="K10" i="2" s="1"/>
  <c r="H124" i="1"/>
  <c r="K112" i="2" s="1"/>
  <c r="T123" i="1"/>
  <c r="K97" i="2" s="1"/>
  <c r="S123" i="1"/>
  <c r="K83" i="2" s="1"/>
  <c r="Q123" i="1"/>
  <c r="P123" i="1"/>
  <c r="O123" i="1"/>
  <c r="N123" i="1"/>
  <c r="L123" i="1"/>
  <c r="K123" i="1"/>
  <c r="H123" i="1"/>
  <c r="K111" i="2" s="1"/>
  <c r="T122" i="1"/>
  <c r="K96" i="2" s="1"/>
  <c r="S122" i="1"/>
  <c r="K82" i="2" s="1"/>
  <c r="Q122" i="1"/>
  <c r="P122" i="1"/>
  <c r="O122" i="1"/>
  <c r="N122" i="1"/>
  <c r="L122" i="1"/>
  <c r="K122" i="1"/>
  <c r="H122" i="1"/>
  <c r="K110" i="2" s="1"/>
  <c r="T121" i="1"/>
  <c r="K95" i="2" s="1"/>
  <c r="S121" i="1"/>
  <c r="K81" i="2" s="1"/>
  <c r="Q121" i="1"/>
  <c r="P121" i="1"/>
  <c r="K69" i="2" s="1"/>
  <c r="O121" i="1"/>
  <c r="N121" i="1"/>
  <c r="L121" i="1"/>
  <c r="H121" i="1"/>
  <c r="K109" i="2" s="1"/>
  <c r="G121" i="1"/>
  <c r="K9" i="2" s="1"/>
  <c r="T120" i="1"/>
  <c r="K94" i="2" s="1"/>
  <c r="S120" i="1"/>
  <c r="K80" i="2" s="1"/>
  <c r="Q120" i="1"/>
  <c r="K56" i="2" s="1"/>
  <c r="P120" i="1"/>
  <c r="K68" i="2" s="1"/>
  <c r="O120" i="1"/>
  <c r="K32" i="2" s="1"/>
  <c r="N120" i="1"/>
  <c r="K44" i="2" s="1"/>
  <c r="L120" i="1"/>
  <c r="K20" i="2" s="1"/>
  <c r="K120" i="1"/>
  <c r="K8" i="2" s="1"/>
  <c r="H120" i="1"/>
  <c r="K108" i="2" s="1"/>
  <c r="T119" i="1"/>
  <c r="K93" i="2" s="1"/>
  <c r="S119" i="1"/>
  <c r="K79" i="2" s="1"/>
  <c r="Q119" i="1"/>
  <c r="K55" i="2" s="1"/>
  <c r="P119" i="1"/>
  <c r="K67" i="2" s="1"/>
  <c r="O119" i="1"/>
  <c r="K31" i="2" s="1"/>
  <c r="N119" i="1"/>
  <c r="K43" i="2" s="1"/>
  <c r="L119" i="1"/>
  <c r="K19" i="2" s="1"/>
  <c r="K119" i="1"/>
  <c r="K7" i="2" s="1"/>
  <c r="H119" i="1"/>
  <c r="K107" i="2" s="1"/>
  <c r="T118" i="1"/>
  <c r="K92" i="2" s="1"/>
  <c r="S118" i="1"/>
  <c r="K78" i="2" s="1"/>
  <c r="Q118" i="1"/>
  <c r="K54" i="2" s="1"/>
  <c r="P118" i="1"/>
  <c r="K66" i="2" s="1"/>
  <c r="O118" i="1"/>
  <c r="K30" i="2" s="1"/>
  <c r="N118" i="1"/>
  <c r="K42" i="2" s="1"/>
  <c r="L118" i="1"/>
  <c r="K18" i="2" s="1"/>
  <c r="K118" i="1"/>
  <c r="K6" i="2" s="1"/>
  <c r="H118" i="1"/>
  <c r="K106" i="2" s="1"/>
  <c r="T117" i="1"/>
  <c r="K91" i="2" s="1"/>
  <c r="S117" i="1"/>
  <c r="K77" i="2" s="1"/>
  <c r="Q117" i="1"/>
  <c r="K53" i="2" s="1"/>
  <c r="P117" i="1"/>
  <c r="K65" i="2" s="1"/>
  <c r="O117" i="1"/>
  <c r="K29" i="2" s="1"/>
  <c r="N117" i="1"/>
  <c r="K41" i="2" s="1"/>
  <c r="L117" i="1"/>
  <c r="K17" i="2" s="1"/>
  <c r="K117" i="1"/>
  <c r="K5" i="2" s="1"/>
  <c r="H117" i="1"/>
  <c r="T116" i="1"/>
  <c r="K90" i="2" s="1"/>
  <c r="S116" i="1"/>
  <c r="K76" i="2" s="1"/>
  <c r="Q116" i="1"/>
  <c r="K52" i="2" s="1"/>
  <c r="P116" i="1"/>
  <c r="K64" i="2" s="1"/>
  <c r="O116" i="1"/>
  <c r="K28" i="2" s="1"/>
  <c r="N116" i="1"/>
  <c r="K40" i="2" s="1"/>
  <c r="L116" i="1"/>
  <c r="K16" i="2" s="1"/>
  <c r="K116" i="1"/>
  <c r="K4" i="2" s="1"/>
  <c r="H116" i="1"/>
  <c r="K104" i="2" s="1"/>
  <c r="T115" i="1"/>
  <c r="K89" i="2" s="1"/>
  <c r="S115" i="1"/>
  <c r="K75" i="2" s="1"/>
  <c r="Q115" i="1"/>
  <c r="K51" i="2" s="1"/>
  <c r="P115" i="1"/>
  <c r="K63" i="2" s="1"/>
  <c r="O115" i="1"/>
  <c r="K27" i="2" s="1"/>
  <c r="N115" i="1"/>
  <c r="K39" i="2" s="1"/>
  <c r="L115" i="1"/>
  <c r="K15" i="2" s="1"/>
  <c r="K115" i="1"/>
  <c r="K3" i="2" s="1"/>
  <c r="H115" i="1"/>
  <c r="K103" i="2" s="1"/>
  <c r="W112" i="1"/>
  <c r="V112" i="1"/>
  <c r="T112" i="1"/>
  <c r="J100" i="2" s="1"/>
  <c r="S112" i="1"/>
  <c r="J86" i="2" s="1"/>
  <c r="Q112" i="1"/>
  <c r="J60" i="2" s="1"/>
  <c r="P112" i="1"/>
  <c r="J72" i="2" s="1"/>
  <c r="O112" i="1"/>
  <c r="J36" i="2" s="1"/>
  <c r="N112" i="1"/>
  <c r="J48" i="2" s="1"/>
  <c r="L112" i="1"/>
  <c r="K112" i="1"/>
  <c r="J12" i="2" s="1"/>
  <c r="H112" i="1"/>
  <c r="R112" i="1" s="1"/>
  <c r="W111" i="1"/>
  <c r="V111" i="1"/>
  <c r="T111" i="1"/>
  <c r="J99" i="2" s="1"/>
  <c r="S111" i="1"/>
  <c r="J85" i="2" s="1"/>
  <c r="Q111" i="1"/>
  <c r="J59" i="2" s="1"/>
  <c r="P111" i="1"/>
  <c r="J71" i="2" s="1"/>
  <c r="O111" i="1"/>
  <c r="J35" i="2" s="1"/>
  <c r="N111" i="1"/>
  <c r="J47" i="2" s="1"/>
  <c r="L111" i="1"/>
  <c r="H111" i="1"/>
  <c r="F135" i="2" s="1"/>
  <c r="F136" i="2" s="1"/>
  <c r="W110" i="1"/>
  <c r="V110" i="1"/>
  <c r="T110" i="1"/>
  <c r="J98" i="2" s="1"/>
  <c r="S110" i="1"/>
  <c r="J84" i="2" s="1"/>
  <c r="Q110" i="1"/>
  <c r="J58" i="2" s="1"/>
  <c r="P110" i="1"/>
  <c r="J70" i="2" s="1"/>
  <c r="O110" i="1"/>
  <c r="J34" i="2" s="1"/>
  <c r="N110" i="1"/>
  <c r="J46" i="2" s="1"/>
  <c r="L110" i="1"/>
  <c r="K110" i="1"/>
  <c r="J10" i="2" s="1"/>
  <c r="H110" i="1"/>
  <c r="J112" i="2" s="1"/>
  <c r="W109" i="1"/>
  <c r="V109" i="1"/>
  <c r="T109" i="1"/>
  <c r="J97" i="2" s="1"/>
  <c r="S109" i="1"/>
  <c r="J83" i="2" s="1"/>
  <c r="Q109" i="1"/>
  <c r="P109" i="1"/>
  <c r="O109" i="1"/>
  <c r="N109" i="1"/>
  <c r="L109" i="1"/>
  <c r="K109" i="1"/>
  <c r="H109" i="1"/>
  <c r="J111" i="2" s="1"/>
  <c r="W108" i="1"/>
  <c r="V108" i="1"/>
  <c r="T108" i="1"/>
  <c r="J96" i="2" s="1"/>
  <c r="S108" i="1"/>
  <c r="J82" i="2" s="1"/>
  <c r="Q108" i="1"/>
  <c r="P108" i="1"/>
  <c r="O108" i="1"/>
  <c r="N108" i="1"/>
  <c r="L108" i="1"/>
  <c r="K108" i="1"/>
  <c r="H108" i="1"/>
  <c r="J110" i="2" s="1"/>
  <c r="W107" i="1"/>
  <c r="V107" i="1"/>
  <c r="T107" i="1"/>
  <c r="J95" i="2" s="1"/>
  <c r="S107" i="1"/>
  <c r="J81" i="2" s="1"/>
  <c r="Q107" i="1"/>
  <c r="P107" i="1"/>
  <c r="J69" i="2" s="1"/>
  <c r="O107" i="1"/>
  <c r="N107" i="1"/>
  <c r="L107" i="1"/>
  <c r="H107" i="1"/>
  <c r="J109" i="2" s="1"/>
  <c r="G107" i="1"/>
  <c r="J9" i="2" s="1"/>
  <c r="W106" i="1"/>
  <c r="V106" i="1"/>
  <c r="T106" i="1"/>
  <c r="J94" i="2" s="1"/>
  <c r="S106" i="1"/>
  <c r="J80" i="2" s="1"/>
  <c r="Q106" i="1"/>
  <c r="J56" i="2" s="1"/>
  <c r="P106" i="1"/>
  <c r="J68" i="2" s="1"/>
  <c r="O106" i="1"/>
  <c r="J32" i="2" s="1"/>
  <c r="N106" i="1"/>
  <c r="J44" i="2" s="1"/>
  <c r="L106" i="1"/>
  <c r="K106" i="1"/>
  <c r="J8" i="2" s="1"/>
  <c r="H106" i="1"/>
  <c r="J108" i="2" s="1"/>
  <c r="W105" i="1"/>
  <c r="V105" i="1"/>
  <c r="T105" i="1"/>
  <c r="J93" i="2" s="1"/>
  <c r="S105" i="1"/>
  <c r="J79" i="2" s="1"/>
  <c r="Q105" i="1"/>
  <c r="J55" i="2" s="1"/>
  <c r="P105" i="1"/>
  <c r="J67" i="2" s="1"/>
  <c r="O105" i="1"/>
  <c r="J31" i="2" s="1"/>
  <c r="N105" i="1"/>
  <c r="J43" i="2" s="1"/>
  <c r="L105" i="1"/>
  <c r="K105" i="1"/>
  <c r="J7" i="2" s="1"/>
  <c r="H105" i="1"/>
  <c r="J107" i="2" s="1"/>
  <c r="W104" i="1"/>
  <c r="V104" i="1"/>
  <c r="T104" i="1"/>
  <c r="J92" i="2" s="1"/>
  <c r="S104" i="1"/>
  <c r="J78" i="2" s="1"/>
  <c r="Q104" i="1"/>
  <c r="J54" i="2" s="1"/>
  <c r="P104" i="1"/>
  <c r="J66" i="2" s="1"/>
  <c r="O104" i="1"/>
  <c r="J30" i="2" s="1"/>
  <c r="N104" i="1"/>
  <c r="J42" i="2" s="1"/>
  <c r="L104" i="1"/>
  <c r="K104" i="1"/>
  <c r="J6" i="2" s="1"/>
  <c r="H104" i="1"/>
  <c r="J106" i="2" s="1"/>
  <c r="W103" i="1"/>
  <c r="V103" i="1"/>
  <c r="T103" i="1"/>
  <c r="J91" i="2" s="1"/>
  <c r="S103" i="1"/>
  <c r="J77" i="2" s="1"/>
  <c r="Q103" i="1"/>
  <c r="J53" i="2" s="1"/>
  <c r="P103" i="1"/>
  <c r="J65" i="2" s="1"/>
  <c r="O103" i="1"/>
  <c r="J29" i="2" s="1"/>
  <c r="N103" i="1"/>
  <c r="J41" i="2" s="1"/>
  <c r="L103" i="1"/>
  <c r="K103" i="1"/>
  <c r="J5" i="2" s="1"/>
  <c r="H103" i="1"/>
  <c r="W102" i="1"/>
  <c r="V102" i="1"/>
  <c r="T102" i="1"/>
  <c r="J90" i="2" s="1"/>
  <c r="S102" i="1"/>
  <c r="J76" i="2" s="1"/>
  <c r="Q102" i="1"/>
  <c r="J52" i="2" s="1"/>
  <c r="P102" i="1"/>
  <c r="J64" i="2" s="1"/>
  <c r="O102" i="1"/>
  <c r="J28" i="2" s="1"/>
  <c r="N102" i="1"/>
  <c r="J40" i="2" s="1"/>
  <c r="L102" i="1"/>
  <c r="K102" i="1"/>
  <c r="J4" i="2" s="1"/>
  <c r="H102" i="1"/>
  <c r="J104" i="2" s="1"/>
  <c r="W101" i="1"/>
  <c r="V101" i="1"/>
  <c r="T101" i="1"/>
  <c r="J89" i="2" s="1"/>
  <c r="S101" i="1"/>
  <c r="J75" i="2" s="1"/>
  <c r="Q101" i="1"/>
  <c r="J51" i="2" s="1"/>
  <c r="P101" i="1"/>
  <c r="J63" i="2" s="1"/>
  <c r="O101" i="1"/>
  <c r="J27" i="2" s="1"/>
  <c r="N101" i="1"/>
  <c r="J39" i="2" s="1"/>
  <c r="L101" i="1"/>
  <c r="K101" i="1"/>
  <c r="J3" i="2" s="1"/>
  <c r="H101" i="1"/>
  <c r="J103" i="2" s="1"/>
  <c r="T98" i="1"/>
  <c r="I100" i="2" s="1"/>
  <c r="S98" i="1"/>
  <c r="I86" i="2" s="1"/>
  <c r="Q98" i="1"/>
  <c r="I60" i="2" s="1"/>
  <c r="P98" i="1"/>
  <c r="I72" i="2" s="1"/>
  <c r="O98" i="1"/>
  <c r="I36" i="2" s="1"/>
  <c r="N98" i="1"/>
  <c r="I48" i="2" s="1"/>
  <c r="L98" i="1"/>
  <c r="I24" i="2" s="1"/>
  <c r="K98" i="1"/>
  <c r="I12" i="2" s="1"/>
  <c r="H98" i="1"/>
  <c r="R98" i="1" s="1"/>
  <c r="S97" i="1"/>
  <c r="I85" i="2" s="1"/>
  <c r="Q97" i="1"/>
  <c r="I59" i="2" s="1"/>
  <c r="P97" i="1"/>
  <c r="I71" i="2" s="1"/>
  <c r="O97" i="1"/>
  <c r="I35" i="2" s="1"/>
  <c r="N97" i="1"/>
  <c r="I47" i="2" s="1"/>
  <c r="L97" i="1"/>
  <c r="I23" i="2" s="1"/>
  <c r="H97" i="1"/>
  <c r="F134" i="2" s="1"/>
  <c r="T96" i="1"/>
  <c r="I98" i="2" s="1"/>
  <c r="S96" i="1"/>
  <c r="I84" i="2" s="1"/>
  <c r="Q96" i="1"/>
  <c r="I58" i="2" s="1"/>
  <c r="P96" i="1"/>
  <c r="I70" i="2" s="1"/>
  <c r="O96" i="1"/>
  <c r="I34" i="2" s="1"/>
  <c r="N96" i="1"/>
  <c r="I46" i="2" s="1"/>
  <c r="L96" i="1"/>
  <c r="I22" i="2" s="1"/>
  <c r="K96" i="1"/>
  <c r="I10" i="2" s="1"/>
  <c r="H96" i="1"/>
  <c r="I112" i="2" s="1"/>
  <c r="T95" i="1"/>
  <c r="I97" i="2" s="1"/>
  <c r="S95" i="1"/>
  <c r="I83" i="2" s="1"/>
  <c r="Q95" i="1"/>
  <c r="P95" i="1"/>
  <c r="O95" i="1"/>
  <c r="N95" i="1"/>
  <c r="L95" i="1"/>
  <c r="K95" i="1"/>
  <c r="H95" i="1"/>
  <c r="I111" i="2" s="1"/>
  <c r="T94" i="1"/>
  <c r="I96" i="2" s="1"/>
  <c r="S94" i="1"/>
  <c r="I82" i="2" s="1"/>
  <c r="Q94" i="1"/>
  <c r="P94" i="1"/>
  <c r="O94" i="1"/>
  <c r="N94" i="1"/>
  <c r="L94" i="1"/>
  <c r="K94" i="1"/>
  <c r="H94" i="1"/>
  <c r="I110" i="2" s="1"/>
  <c r="T93" i="1"/>
  <c r="I95" i="2" s="1"/>
  <c r="S93" i="1"/>
  <c r="I81" i="2" s="1"/>
  <c r="Q93" i="1"/>
  <c r="P93" i="1"/>
  <c r="I69" i="2" s="1"/>
  <c r="O93" i="1"/>
  <c r="N93" i="1"/>
  <c r="L93" i="1"/>
  <c r="H93" i="1"/>
  <c r="I109" i="2" s="1"/>
  <c r="G93" i="1"/>
  <c r="I9" i="2" s="1"/>
  <c r="T92" i="1"/>
  <c r="I94" i="2" s="1"/>
  <c r="S92" i="1"/>
  <c r="I80" i="2" s="1"/>
  <c r="Q92" i="1"/>
  <c r="I56" i="2" s="1"/>
  <c r="P92" i="1"/>
  <c r="I68" i="2" s="1"/>
  <c r="O92" i="1"/>
  <c r="I32" i="2" s="1"/>
  <c r="N92" i="1"/>
  <c r="I44" i="2" s="1"/>
  <c r="L92" i="1"/>
  <c r="I20" i="2" s="1"/>
  <c r="K92" i="1"/>
  <c r="I8" i="2" s="1"/>
  <c r="H92" i="1"/>
  <c r="I108" i="2" s="1"/>
  <c r="T91" i="1"/>
  <c r="I93" i="2" s="1"/>
  <c r="S91" i="1"/>
  <c r="I79" i="2" s="1"/>
  <c r="Q91" i="1"/>
  <c r="I55" i="2" s="1"/>
  <c r="P91" i="1"/>
  <c r="I67" i="2" s="1"/>
  <c r="O91" i="1"/>
  <c r="I31" i="2" s="1"/>
  <c r="N91" i="1"/>
  <c r="I43" i="2" s="1"/>
  <c r="L91" i="1"/>
  <c r="I19" i="2" s="1"/>
  <c r="K91" i="1"/>
  <c r="I7" i="2" s="1"/>
  <c r="H91" i="1"/>
  <c r="I107" i="2" s="1"/>
  <c r="T90" i="1"/>
  <c r="I92" i="2" s="1"/>
  <c r="S90" i="1"/>
  <c r="I78" i="2" s="1"/>
  <c r="Q90" i="1"/>
  <c r="I54" i="2" s="1"/>
  <c r="P90" i="1"/>
  <c r="I66" i="2" s="1"/>
  <c r="O90" i="1"/>
  <c r="I30" i="2" s="1"/>
  <c r="N90" i="1"/>
  <c r="I42" i="2" s="1"/>
  <c r="L90" i="1"/>
  <c r="I18" i="2" s="1"/>
  <c r="K90" i="1"/>
  <c r="I6" i="2" s="1"/>
  <c r="H90" i="1"/>
  <c r="I106" i="2" s="1"/>
  <c r="T89" i="1"/>
  <c r="I91" i="2" s="1"/>
  <c r="S89" i="1"/>
  <c r="I77" i="2" s="1"/>
  <c r="Q89" i="1"/>
  <c r="I53" i="2" s="1"/>
  <c r="P89" i="1"/>
  <c r="I65" i="2" s="1"/>
  <c r="O89" i="1"/>
  <c r="I29" i="2" s="1"/>
  <c r="N89" i="1"/>
  <c r="I41" i="2" s="1"/>
  <c r="L89" i="1"/>
  <c r="I17" i="2" s="1"/>
  <c r="K89" i="1"/>
  <c r="I5" i="2" s="1"/>
  <c r="H89" i="1"/>
  <c r="T88" i="1"/>
  <c r="I90" i="2" s="1"/>
  <c r="S88" i="1"/>
  <c r="I76" i="2" s="1"/>
  <c r="Q88" i="1"/>
  <c r="I52" i="2" s="1"/>
  <c r="P88" i="1"/>
  <c r="I64" i="2" s="1"/>
  <c r="O88" i="1"/>
  <c r="I28" i="2" s="1"/>
  <c r="N88" i="1"/>
  <c r="I40" i="2" s="1"/>
  <c r="L88" i="1"/>
  <c r="I16" i="2" s="1"/>
  <c r="K88" i="1"/>
  <c r="I4" i="2" s="1"/>
  <c r="H88" i="1"/>
  <c r="I104" i="2" s="1"/>
  <c r="T87" i="1"/>
  <c r="I89" i="2" s="1"/>
  <c r="S87" i="1"/>
  <c r="I75" i="2" s="1"/>
  <c r="Q87" i="1"/>
  <c r="I51" i="2" s="1"/>
  <c r="P87" i="1"/>
  <c r="I63" i="2" s="1"/>
  <c r="O87" i="1"/>
  <c r="I27" i="2" s="1"/>
  <c r="N87" i="1"/>
  <c r="I39" i="2" s="1"/>
  <c r="L87" i="1"/>
  <c r="I15" i="2" s="1"/>
  <c r="K87" i="1"/>
  <c r="I3" i="2" s="1"/>
  <c r="H87" i="1"/>
  <c r="I103" i="2" s="1"/>
  <c r="T84" i="1"/>
  <c r="H100" i="2" s="1"/>
  <c r="S84" i="1"/>
  <c r="H86" i="2" s="1"/>
  <c r="Q84" i="1"/>
  <c r="H60" i="2" s="1"/>
  <c r="P84" i="1"/>
  <c r="H72" i="2" s="1"/>
  <c r="O84" i="1"/>
  <c r="H36" i="2" s="1"/>
  <c r="N84" i="1"/>
  <c r="H48" i="2" s="1"/>
  <c r="L84" i="1"/>
  <c r="H24" i="2" s="1"/>
  <c r="K84" i="1"/>
  <c r="H12" i="2" s="1"/>
  <c r="H84" i="1"/>
  <c r="R84" i="1" s="1"/>
  <c r="S83" i="1"/>
  <c r="H85" i="2" s="1"/>
  <c r="L83" i="1"/>
  <c r="H23" i="2" s="1"/>
  <c r="F83" i="1"/>
  <c r="D133" i="2" s="1"/>
  <c r="T82" i="1"/>
  <c r="H98" i="2" s="1"/>
  <c r="S82" i="1"/>
  <c r="H84" i="2" s="1"/>
  <c r="Q82" i="1"/>
  <c r="H58" i="2" s="1"/>
  <c r="P82" i="1"/>
  <c r="H70" i="2" s="1"/>
  <c r="O82" i="1"/>
  <c r="H34" i="2" s="1"/>
  <c r="N82" i="1"/>
  <c r="H46" i="2" s="1"/>
  <c r="L82" i="1"/>
  <c r="H22" i="2" s="1"/>
  <c r="K82" i="1"/>
  <c r="H10" i="2" s="1"/>
  <c r="H82" i="1"/>
  <c r="H112" i="2" s="1"/>
  <c r="T81" i="1"/>
  <c r="H97" i="2" s="1"/>
  <c r="S81" i="1"/>
  <c r="H83" i="2" s="1"/>
  <c r="Q81" i="1"/>
  <c r="P81" i="1"/>
  <c r="O81" i="1"/>
  <c r="N81" i="1"/>
  <c r="L81" i="1"/>
  <c r="K81" i="1"/>
  <c r="H81" i="1"/>
  <c r="H111" i="2" s="1"/>
  <c r="T80" i="1"/>
  <c r="H96" i="2" s="1"/>
  <c r="S80" i="1"/>
  <c r="H82" i="2" s="1"/>
  <c r="Q80" i="1"/>
  <c r="P80" i="1"/>
  <c r="O80" i="1"/>
  <c r="N80" i="1"/>
  <c r="L80" i="1"/>
  <c r="K80" i="1"/>
  <c r="H80" i="1"/>
  <c r="H110" i="2" s="1"/>
  <c r="T79" i="1"/>
  <c r="H95" i="2" s="1"/>
  <c r="S79" i="1"/>
  <c r="H81" i="2" s="1"/>
  <c r="Q79" i="1"/>
  <c r="P79" i="1"/>
  <c r="H69" i="2" s="1"/>
  <c r="O79" i="1"/>
  <c r="N79" i="1"/>
  <c r="L79" i="1"/>
  <c r="H79" i="1"/>
  <c r="H109" i="2" s="1"/>
  <c r="G79" i="1"/>
  <c r="H9" i="2" s="1"/>
  <c r="T78" i="1"/>
  <c r="H94" i="2" s="1"/>
  <c r="S78" i="1"/>
  <c r="H80" i="2" s="1"/>
  <c r="Q78" i="1"/>
  <c r="H56" i="2" s="1"/>
  <c r="P78" i="1"/>
  <c r="H68" i="2" s="1"/>
  <c r="O78" i="1"/>
  <c r="H32" i="2" s="1"/>
  <c r="N78" i="1"/>
  <c r="H44" i="2" s="1"/>
  <c r="L78" i="1"/>
  <c r="H20" i="2" s="1"/>
  <c r="K78" i="1"/>
  <c r="H8" i="2" s="1"/>
  <c r="H78" i="1"/>
  <c r="H108" i="2" s="1"/>
  <c r="T77" i="1"/>
  <c r="H93" i="2" s="1"/>
  <c r="S77" i="1"/>
  <c r="H79" i="2" s="1"/>
  <c r="Q77" i="1"/>
  <c r="H55" i="2" s="1"/>
  <c r="P77" i="1"/>
  <c r="H67" i="2" s="1"/>
  <c r="O77" i="1"/>
  <c r="H31" i="2" s="1"/>
  <c r="N77" i="1"/>
  <c r="H43" i="2" s="1"/>
  <c r="L77" i="1"/>
  <c r="H19" i="2" s="1"/>
  <c r="K77" i="1"/>
  <c r="H7" i="2" s="1"/>
  <c r="H77" i="1"/>
  <c r="H107" i="2" s="1"/>
  <c r="T76" i="1"/>
  <c r="H92" i="2" s="1"/>
  <c r="S76" i="1"/>
  <c r="H78" i="2" s="1"/>
  <c r="Q76" i="1"/>
  <c r="H54" i="2" s="1"/>
  <c r="P76" i="1"/>
  <c r="H66" i="2" s="1"/>
  <c r="O76" i="1"/>
  <c r="H30" i="2" s="1"/>
  <c r="N76" i="1"/>
  <c r="H42" i="2" s="1"/>
  <c r="L76" i="1"/>
  <c r="H18" i="2" s="1"/>
  <c r="K76" i="1"/>
  <c r="H6" i="2" s="1"/>
  <c r="H76" i="1"/>
  <c r="H106" i="2" s="1"/>
  <c r="T75" i="1"/>
  <c r="H91" i="2" s="1"/>
  <c r="S75" i="1"/>
  <c r="H77" i="2" s="1"/>
  <c r="Q75" i="1"/>
  <c r="H53" i="2" s="1"/>
  <c r="P75" i="1"/>
  <c r="H65" i="2" s="1"/>
  <c r="O75" i="1"/>
  <c r="H29" i="2" s="1"/>
  <c r="N75" i="1"/>
  <c r="H41" i="2" s="1"/>
  <c r="L75" i="1"/>
  <c r="H17" i="2" s="1"/>
  <c r="K75" i="1"/>
  <c r="H5" i="2" s="1"/>
  <c r="H75" i="1"/>
  <c r="T74" i="1"/>
  <c r="H90" i="2" s="1"/>
  <c r="S74" i="1"/>
  <c r="H76" i="2" s="1"/>
  <c r="Q74" i="1"/>
  <c r="H52" i="2" s="1"/>
  <c r="P74" i="1"/>
  <c r="H64" i="2" s="1"/>
  <c r="O74" i="1"/>
  <c r="H28" i="2" s="1"/>
  <c r="N74" i="1"/>
  <c r="H40" i="2" s="1"/>
  <c r="L74" i="1"/>
  <c r="H16" i="2" s="1"/>
  <c r="K74" i="1"/>
  <c r="H4" i="2" s="1"/>
  <c r="H74" i="1"/>
  <c r="H104" i="2" s="1"/>
  <c r="T73" i="1"/>
  <c r="H89" i="2" s="1"/>
  <c r="S73" i="1"/>
  <c r="H75" i="2" s="1"/>
  <c r="Q73" i="1"/>
  <c r="H51" i="2" s="1"/>
  <c r="P73" i="1"/>
  <c r="H63" i="2" s="1"/>
  <c r="O73" i="1"/>
  <c r="H27" i="2" s="1"/>
  <c r="N73" i="1"/>
  <c r="H39" i="2" s="1"/>
  <c r="L73" i="1"/>
  <c r="H15" i="2" s="1"/>
  <c r="K73" i="1"/>
  <c r="H3" i="2" s="1"/>
  <c r="H73" i="1"/>
  <c r="H103" i="2" s="1"/>
  <c r="T70" i="1"/>
  <c r="G100" i="2" s="1"/>
  <c r="S70" i="1"/>
  <c r="G86" i="2" s="1"/>
  <c r="Q70" i="1"/>
  <c r="G60" i="2" s="1"/>
  <c r="P70" i="1"/>
  <c r="G72" i="2" s="1"/>
  <c r="O70" i="1"/>
  <c r="G36" i="2" s="1"/>
  <c r="N70" i="1"/>
  <c r="G48" i="2" s="1"/>
  <c r="L70" i="1"/>
  <c r="G24" i="2" s="1"/>
  <c r="K70" i="1"/>
  <c r="G12" i="2" s="1"/>
  <c r="H70" i="1"/>
  <c r="R70" i="1" s="1"/>
  <c r="S69" i="1"/>
  <c r="G85" i="2" s="1"/>
  <c r="L69" i="1"/>
  <c r="G23" i="2" s="1"/>
  <c r="F69" i="1"/>
  <c r="D132" i="2" s="1"/>
  <c r="T68" i="1"/>
  <c r="G98" i="2" s="1"/>
  <c r="S68" i="1"/>
  <c r="G84" i="2" s="1"/>
  <c r="Q68" i="1"/>
  <c r="G58" i="2" s="1"/>
  <c r="P68" i="1"/>
  <c r="G70" i="2" s="1"/>
  <c r="O68" i="1"/>
  <c r="G34" i="2" s="1"/>
  <c r="N68" i="1"/>
  <c r="G46" i="2" s="1"/>
  <c r="L68" i="1"/>
  <c r="G22" i="2" s="1"/>
  <c r="K68" i="1"/>
  <c r="G10" i="2" s="1"/>
  <c r="H68" i="1"/>
  <c r="G112" i="2" s="1"/>
  <c r="T67" i="1"/>
  <c r="G97" i="2" s="1"/>
  <c r="S67" i="1"/>
  <c r="G83" i="2" s="1"/>
  <c r="Q67" i="1"/>
  <c r="P67" i="1"/>
  <c r="O67" i="1"/>
  <c r="N67" i="1"/>
  <c r="L67" i="1"/>
  <c r="K67" i="1"/>
  <c r="H67" i="1"/>
  <c r="G111" i="2" s="1"/>
  <c r="T66" i="1"/>
  <c r="G96" i="2" s="1"/>
  <c r="S66" i="1"/>
  <c r="G82" i="2" s="1"/>
  <c r="Q66" i="1"/>
  <c r="P66" i="1"/>
  <c r="O66" i="1"/>
  <c r="N66" i="1"/>
  <c r="L66" i="1"/>
  <c r="K66" i="1"/>
  <c r="H66" i="1"/>
  <c r="G110" i="2" s="1"/>
  <c r="T65" i="1"/>
  <c r="G95" i="2" s="1"/>
  <c r="S65" i="1"/>
  <c r="G81" i="2" s="1"/>
  <c r="Q65" i="1"/>
  <c r="P65" i="1"/>
  <c r="G69" i="2" s="1"/>
  <c r="O65" i="1"/>
  <c r="N65" i="1"/>
  <c r="L65" i="1"/>
  <c r="H65" i="1"/>
  <c r="G109" i="2" s="1"/>
  <c r="G65" i="1"/>
  <c r="G9" i="2" s="1"/>
  <c r="T64" i="1"/>
  <c r="G94" i="2" s="1"/>
  <c r="S64" i="1"/>
  <c r="G80" i="2" s="1"/>
  <c r="Q64" i="1"/>
  <c r="G56" i="2" s="1"/>
  <c r="P64" i="1"/>
  <c r="G68" i="2" s="1"/>
  <c r="O64" i="1"/>
  <c r="G32" i="2" s="1"/>
  <c r="N64" i="1"/>
  <c r="G44" i="2" s="1"/>
  <c r="L64" i="1"/>
  <c r="G20" i="2" s="1"/>
  <c r="K64" i="1"/>
  <c r="G8" i="2" s="1"/>
  <c r="H64" i="1"/>
  <c r="G108" i="2" s="1"/>
  <c r="T63" i="1"/>
  <c r="G93" i="2" s="1"/>
  <c r="S63" i="1"/>
  <c r="G79" i="2" s="1"/>
  <c r="Q63" i="1"/>
  <c r="G55" i="2" s="1"/>
  <c r="P63" i="1"/>
  <c r="G67" i="2" s="1"/>
  <c r="O63" i="1"/>
  <c r="G31" i="2" s="1"/>
  <c r="N63" i="1"/>
  <c r="G43" i="2" s="1"/>
  <c r="L63" i="1"/>
  <c r="G19" i="2" s="1"/>
  <c r="K63" i="1"/>
  <c r="G7" i="2" s="1"/>
  <c r="H63" i="1"/>
  <c r="G107" i="2" s="1"/>
  <c r="T62" i="1"/>
  <c r="G92" i="2" s="1"/>
  <c r="S62" i="1"/>
  <c r="G78" i="2" s="1"/>
  <c r="Q62" i="1"/>
  <c r="G54" i="2" s="1"/>
  <c r="P62" i="1"/>
  <c r="G66" i="2" s="1"/>
  <c r="O62" i="1"/>
  <c r="G30" i="2" s="1"/>
  <c r="N62" i="1"/>
  <c r="G42" i="2" s="1"/>
  <c r="L62" i="1"/>
  <c r="G18" i="2" s="1"/>
  <c r="K62" i="1"/>
  <c r="G6" i="2" s="1"/>
  <c r="H62" i="1"/>
  <c r="G106" i="2" s="1"/>
  <c r="T61" i="1"/>
  <c r="G91" i="2" s="1"/>
  <c r="S61" i="1"/>
  <c r="G77" i="2" s="1"/>
  <c r="Q61" i="1"/>
  <c r="G53" i="2" s="1"/>
  <c r="P61" i="1"/>
  <c r="G65" i="2" s="1"/>
  <c r="O61" i="1"/>
  <c r="G29" i="2" s="1"/>
  <c r="N61" i="1"/>
  <c r="G41" i="2" s="1"/>
  <c r="L61" i="1"/>
  <c r="G17" i="2" s="1"/>
  <c r="K61" i="1"/>
  <c r="G5" i="2" s="1"/>
  <c r="H61" i="1"/>
  <c r="T60" i="1"/>
  <c r="G90" i="2" s="1"/>
  <c r="S60" i="1"/>
  <c r="G76" i="2" s="1"/>
  <c r="Q60" i="1"/>
  <c r="G52" i="2" s="1"/>
  <c r="P60" i="1"/>
  <c r="G64" i="2" s="1"/>
  <c r="O60" i="1"/>
  <c r="G28" i="2" s="1"/>
  <c r="N60" i="1"/>
  <c r="G40" i="2" s="1"/>
  <c r="L60" i="1"/>
  <c r="G16" i="2" s="1"/>
  <c r="K60" i="1"/>
  <c r="G4" i="2" s="1"/>
  <c r="H60" i="1"/>
  <c r="G104" i="2" s="1"/>
  <c r="T59" i="1"/>
  <c r="G89" i="2" s="1"/>
  <c r="S59" i="1"/>
  <c r="G75" i="2" s="1"/>
  <c r="Q59" i="1"/>
  <c r="G51" i="2" s="1"/>
  <c r="P59" i="1"/>
  <c r="G63" i="2" s="1"/>
  <c r="O59" i="1"/>
  <c r="G27" i="2" s="1"/>
  <c r="N59" i="1"/>
  <c r="G39" i="2" s="1"/>
  <c r="L59" i="1"/>
  <c r="G15" i="2" s="1"/>
  <c r="K59" i="1"/>
  <c r="G3" i="2" s="1"/>
  <c r="H59" i="1"/>
  <c r="G103" i="2" s="1"/>
  <c r="T56" i="1"/>
  <c r="F100" i="2" s="1"/>
  <c r="S56" i="1"/>
  <c r="F86" i="2" s="1"/>
  <c r="Q56" i="1"/>
  <c r="F60" i="2" s="1"/>
  <c r="P56" i="1"/>
  <c r="F72" i="2" s="1"/>
  <c r="O56" i="1"/>
  <c r="F36" i="2" s="1"/>
  <c r="N56" i="1"/>
  <c r="F48" i="2" s="1"/>
  <c r="L56" i="1"/>
  <c r="F24" i="2" s="1"/>
  <c r="K56" i="1"/>
  <c r="F12" i="2" s="1"/>
  <c r="H56" i="1"/>
  <c r="R56" i="1" s="1"/>
  <c r="S55" i="1"/>
  <c r="F85" i="2" s="1"/>
  <c r="L55" i="1"/>
  <c r="F23" i="2" s="1"/>
  <c r="F55" i="1"/>
  <c r="D131" i="2" s="1"/>
  <c r="T54" i="1"/>
  <c r="F98" i="2" s="1"/>
  <c r="S54" i="1"/>
  <c r="F84" i="2" s="1"/>
  <c r="Q54" i="1"/>
  <c r="F58" i="2" s="1"/>
  <c r="P54" i="1"/>
  <c r="F70" i="2" s="1"/>
  <c r="O54" i="1"/>
  <c r="F34" i="2" s="1"/>
  <c r="N54" i="1"/>
  <c r="F46" i="2" s="1"/>
  <c r="L54" i="1"/>
  <c r="F22" i="2" s="1"/>
  <c r="K54" i="1"/>
  <c r="F10" i="2" s="1"/>
  <c r="H54" i="1"/>
  <c r="F112" i="2" s="1"/>
  <c r="T53" i="1"/>
  <c r="F97" i="2" s="1"/>
  <c r="S53" i="1"/>
  <c r="F83" i="2" s="1"/>
  <c r="Q53" i="1"/>
  <c r="P53" i="1"/>
  <c r="O53" i="1"/>
  <c r="N53" i="1"/>
  <c r="L53" i="1"/>
  <c r="K53" i="1"/>
  <c r="H53" i="1"/>
  <c r="F111" i="2" s="1"/>
  <c r="T52" i="1"/>
  <c r="F96" i="2" s="1"/>
  <c r="S52" i="1"/>
  <c r="F82" i="2" s="1"/>
  <c r="Q52" i="1"/>
  <c r="P52" i="1"/>
  <c r="O52" i="1"/>
  <c r="N52" i="1"/>
  <c r="L52" i="1"/>
  <c r="K52" i="1"/>
  <c r="H52" i="1"/>
  <c r="F110" i="2" s="1"/>
  <c r="T51" i="1"/>
  <c r="F95" i="2" s="1"/>
  <c r="S51" i="1"/>
  <c r="F81" i="2" s="1"/>
  <c r="Q51" i="1"/>
  <c r="P51" i="1"/>
  <c r="F69" i="2" s="1"/>
  <c r="O51" i="1"/>
  <c r="N51" i="1"/>
  <c r="L51" i="1"/>
  <c r="H51" i="1"/>
  <c r="F109" i="2" s="1"/>
  <c r="G51" i="1"/>
  <c r="F9" i="2" s="1"/>
  <c r="T50" i="1"/>
  <c r="F94" i="2" s="1"/>
  <c r="S50" i="1"/>
  <c r="F80" i="2" s="1"/>
  <c r="Q50" i="1"/>
  <c r="F56" i="2" s="1"/>
  <c r="P50" i="1"/>
  <c r="F68" i="2" s="1"/>
  <c r="O50" i="1"/>
  <c r="F32" i="2" s="1"/>
  <c r="N50" i="1"/>
  <c r="F44" i="2" s="1"/>
  <c r="L50" i="1"/>
  <c r="F20" i="2" s="1"/>
  <c r="K50" i="1"/>
  <c r="F8" i="2" s="1"/>
  <c r="H50" i="1"/>
  <c r="F108" i="2" s="1"/>
  <c r="T49" i="1"/>
  <c r="F93" i="2" s="1"/>
  <c r="S49" i="1"/>
  <c r="F79" i="2" s="1"/>
  <c r="Q49" i="1"/>
  <c r="F55" i="2" s="1"/>
  <c r="P49" i="1"/>
  <c r="F67" i="2" s="1"/>
  <c r="O49" i="1"/>
  <c r="F31" i="2" s="1"/>
  <c r="N49" i="1"/>
  <c r="F43" i="2" s="1"/>
  <c r="L49" i="1"/>
  <c r="F19" i="2" s="1"/>
  <c r="K49" i="1"/>
  <c r="F7" i="2" s="1"/>
  <c r="H49" i="1"/>
  <c r="F107" i="2" s="1"/>
  <c r="T48" i="1"/>
  <c r="F92" i="2" s="1"/>
  <c r="S48" i="1"/>
  <c r="F78" i="2" s="1"/>
  <c r="Q48" i="1"/>
  <c r="F54" i="2" s="1"/>
  <c r="P48" i="1"/>
  <c r="F66" i="2" s="1"/>
  <c r="O48" i="1"/>
  <c r="F30" i="2" s="1"/>
  <c r="N48" i="1"/>
  <c r="F42" i="2" s="1"/>
  <c r="L48" i="1"/>
  <c r="F18" i="2" s="1"/>
  <c r="K48" i="1"/>
  <c r="F6" i="2" s="1"/>
  <c r="H48" i="1"/>
  <c r="F106" i="2" s="1"/>
  <c r="T47" i="1"/>
  <c r="F91" i="2" s="1"/>
  <c r="S47" i="1"/>
  <c r="F77" i="2" s="1"/>
  <c r="Q47" i="1"/>
  <c r="F53" i="2" s="1"/>
  <c r="P47" i="1"/>
  <c r="F65" i="2" s="1"/>
  <c r="O47" i="1"/>
  <c r="F29" i="2" s="1"/>
  <c r="N47" i="1"/>
  <c r="F41" i="2" s="1"/>
  <c r="L47" i="1"/>
  <c r="F17" i="2" s="1"/>
  <c r="K47" i="1"/>
  <c r="F5" i="2" s="1"/>
  <c r="H47" i="1"/>
  <c r="T46" i="1"/>
  <c r="F90" i="2" s="1"/>
  <c r="S46" i="1"/>
  <c r="F76" i="2" s="1"/>
  <c r="Q46" i="1"/>
  <c r="F52" i="2" s="1"/>
  <c r="P46" i="1"/>
  <c r="F64" i="2" s="1"/>
  <c r="O46" i="1"/>
  <c r="F28" i="2" s="1"/>
  <c r="N46" i="1"/>
  <c r="F40" i="2" s="1"/>
  <c r="L46" i="1"/>
  <c r="F16" i="2" s="1"/>
  <c r="K46" i="1"/>
  <c r="F4" i="2" s="1"/>
  <c r="H46" i="1"/>
  <c r="F104" i="2" s="1"/>
  <c r="T45" i="1"/>
  <c r="F89" i="2" s="1"/>
  <c r="S45" i="1"/>
  <c r="F75" i="2" s="1"/>
  <c r="Q45" i="1"/>
  <c r="F51" i="2" s="1"/>
  <c r="P45" i="1"/>
  <c r="F63" i="2" s="1"/>
  <c r="O45" i="1"/>
  <c r="F27" i="2" s="1"/>
  <c r="N45" i="1"/>
  <c r="F39" i="2" s="1"/>
  <c r="L45" i="1"/>
  <c r="F15" i="2" s="1"/>
  <c r="K45" i="1"/>
  <c r="F3" i="2" s="1"/>
  <c r="H45" i="1"/>
  <c r="F103" i="2" s="1"/>
  <c r="W42" i="1"/>
  <c r="V42" i="1"/>
  <c r="T42" i="1"/>
  <c r="E100" i="2" s="1"/>
  <c r="S42" i="1"/>
  <c r="E86" i="2" s="1"/>
  <c r="Q42" i="1"/>
  <c r="E60" i="2" s="1"/>
  <c r="P42" i="1"/>
  <c r="E72" i="2" s="1"/>
  <c r="O42" i="1"/>
  <c r="N42" i="1"/>
  <c r="E48" i="2" s="1"/>
  <c r="L42" i="1"/>
  <c r="K42" i="1"/>
  <c r="E12" i="2" s="1"/>
  <c r="H42" i="1"/>
  <c r="R42" i="1" s="1"/>
  <c r="V41" i="1"/>
  <c r="S41" i="1"/>
  <c r="E85" i="2" s="1"/>
  <c r="L41" i="1"/>
  <c r="F41" i="1"/>
  <c r="D130" i="2" s="1"/>
  <c r="W40" i="1"/>
  <c r="V40" i="1"/>
  <c r="T40" i="1"/>
  <c r="E98" i="2" s="1"/>
  <c r="S40" i="1"/>
  <c r="E84" i="2" s="1"/>
  <c r="Q40" i="1"/>
  <c r="E58" i="2" s="1"/>
  <c r="P40" i="1"/>
  <c r="E70" i="2" s="1"/>
  <c r="O40" i="1"/>
  <c r="N40" i="1"/>
  <c r="E46" i="2" s="1"/>
  <c r="L40" i="1"/>
  <c r="K40" i="1"/>
  <c r="E10" i="2" s="1"/>
  <c r="H40" i="1"/>
  <c r="E112" i="2" s="1"/>
  <c r="W39" i="1"/>
  <c r="V39" i="1"/>
  <c r="T39" i="1"/>
  <c r="E97" i="2" s="1"/>
  <c r="S39" i="1"/>
  <c r="E83" i="2" s="1"/>
  <c r="Q39" i="1"/>
  <c r="P39" i="1"/>
  <c r="O39" i="1"/>
  <c r="N39" i="1"/>
  <c r="L39" i="1"/>
  <c r="K39" i="1"/>
  <c r="H39" i="1"/>
  <c r="E111" i="2" s="1"/>
  <c r="W38" i="1"/>
  <c r="V38" i="1"/>
  <c r="T38" i="1"/>
  <c r="E96" i="2" s="1"/>
  <c r="S38" i="1"/>
  <c r="E82" i="2" s="1"/>
  <c r="Q38" i="1"/>
  <c r="P38" i="1"/>
  <c r="O38" i="1"/>
  <c r="N38" i="1"/>
  <c r="L38" i="1"/>
  <c r="K38" i="1"/>
  <c r="H38" i="1"/>
  <c r="E110" i="2" s="1"/>
  <c r="W37" i="1"/>
  <c r="V37" i="1"/>
  <c r="T37" i="1"/>
  <c r="E95" i="2" s="1"/>
  <c r="S37" i="1"/>
  <c r="E81" i="2" s="1"/>
  <c r="Q37" i="1"/>
  <c r="P37" i="1"/>
  <c r="E69" i="2" s="1"/>
  <c r="O37" i="1"/>
  <c r="N37" i="1"/>
  <c r="L37" i="1"/>
  <c r="H37" i="1"/>
  <c r="E109" i="2" s="1"/>
  <c r="G37" i="1"/>
  <c r="E9" i="2" s="1"/>
  <c r="W36" i="1"/>
  <c r="V36" i="1"/>
  <c r="T36" i="1"/>
  <c r="E94" i="2" s="1"/>
  <c r="S36" i="1"/>
  <c r="E80" i="2" s="1"/>
  <c r="Q36" i="1"/>
  <c r="E56" i="2" s="1"/>
  <c r="P36" i="1"/>
  <c r="E68" i="2" s="1"/>
  <c r="O36" i="1"/>
  <c r="E32" i="2" s="1"/>
  <c r="N36" i="1"/>
  <c r="E44" i="2" s="1"/>
  <c r="L36" i="1"/>
  <c r="K36" i="1"/>
  <c r="E8" i="2" s="1"/>
  <c r="H36" i="1"/>
  <c r="E108" i="2" s="1"/>
  <c r="W35" i="1"/>
  <c r="V35" i="1"/>
  <c r="T35" i="1"/>
  <c r="E93" i="2" s="1"/>
  <c r="S35" i="1"/>
  <c r="E79" i="2" s="1"/>
  <c r="Q35" i="1"/>
  <c r="E55" i="2" s="1"/>
  <c r="P35" i="1"/>
  <c r="E67" i="2" s="1"/>
  <c r="O35" i="1"/>
  <c r="E31" i="2" s="1"/>
  <c r="N35" i="1"/>
  <c r="E43" i="2" s="1"/>
  <c r="L35" i="1"/>
  <c r="K35" i="1"/>
  <c r="E7" i="2" s="1"/>
  <c r="H35" i="1"/>
  <c r="E107" i="2" s="1"/>
  <c r="W34" i="1"/>
  <c r="V34" i="1"/>
  <c r="T34" i="1"/>
  <c r="E92" i="2" s="1"/>
  <c r="S34" i="1"/>
  <c r="E78" i="2" s="1"/>
  <c r="Q34" i="1"/>
  <c r="E54" i="2" s="1"/>
  <c r="P34" i="1"/>
  <c r="E66" i="2" s="1"/>
  <c r="O34" i="1"/>
  <c r="E30" i="2" s="1"/>
  <c r="N34" i="1"/>
  <c r="E42" i="2" s="1"/>
  <c r="L34" i="1"/>
  <c r="K34" i="1"/>
  <c r="E6" i="2" s="1"/>
  <c r="H34" i="1"/>
  <c r="E106" i="2" s="1"/>
  <c r="W33" i="1"/>
  <c r="V33" i="1"/>
  <c r="T33" i="1"/>
  <c r="E91" i="2" s="1"/>
  <c r="S33" i="1"/>
  <c r="E77" i="2" s="1"/>
  <c r="Q33" i="1"/>
  <c r="E53" i="2" s="1"/>
  <c r="P33" i="1"/>
  <c r="E65" i="2" s="1"/>
  <c r="O33" i="1"/>
  <c r="E29" i="2" s="1"/>
  <c r="N33" i="1"/>
  <c r="E41" i="2" s="1"/>
  <c r="L33" i="1"/>
  <c r="K33" i="1"/>
  <c r="E5" i="2" s="1"/>
  <c r="H33" i="1"/>
  <c r="W32" i="1"/>
  <c r="V32" i="1"/>
  <c r="T32" i="1"/>
  <c r="E90" i="2" s="1"/>
  <c r="S32" i="1"/>
  <c r="E76" i="2" s="1"/>
  <c r="Q32" i="1"/>
  <c r="E52" i="2" s="1"/>
  <c r="P32" i="1"/>
  <c r="E64" i="2" s="1"/>
  <c r="O32" i="1"/>
  <c r="E28" i="2" s="1"/>
  <c r="N32" i="1"/>
  <c r="E40" i="2" s="1"/>
  <c r="L32" i="1"/>
  <c r="K32" i="1"/>
  <c r="E4" i="2" s="1"/>
  <c r="H32" i="1"/>
  <c r="E104" i="2" s="1"/>
  <c r="W31" i="1"/>
  <c r="V31" i="1"/>
  <c r="T31" i="1"/>
  <c r="E89" i="2" s="1"/>
  <c r="S31" i="1"/>
  <c r="E75" i="2" s="1"/>
  <c r="Q31" i="1"/>
  <c r="E51" i="2" s="1"/>
  <c r="P31" i="1"/>
  <c r="E63" i="2" s="1"/>
  <c r="O31" i="1"/>
  <c r="E27" i="2" s="1"/>
  <c r="N31" i="1"/>
  <c r="E39" i="2" s="1"/>
  <c r="L31" i="1"/>
  <c r="K31" i="1"/>
  <c r="E3" i="2" s="1"/>
  <c r="H31" i="1"/>
  <c r="E103" i="2" s="1"/>
  <c r="T28" i="1"/>
  <c r="D100" i="2" s="1"/>
  <c r="S28" i="1"/>
  <c r="D86" i="2" s="1"/>
  <c r="Q28" i="1"/>
  <c r="D60" i="2" s="1"/>
  <c r="P28" i="1"/>
  <c r="D72" i="2" s="1"/>
  <c r="O28" i="1"/>
  <c r="E36" i="2" s="1"/>
  <c r="N28" i="1"/>
  <c r="D48" i="2" s="1"/>
  <c r="L28" i="1"/>
  <c r="D24" i="2" s="1"/>
  <c r="K28" i="1"/>
  <c r="D12" i="2" s="1"/>
  <c r="H28" i="1"/>
  <c r="R28" i="1" s="1"/>
  <c r="L27" i="1"/>
  <c r="D23" i="2" s="1"/>
  <c r="F27" i="1"/>
  <c r="D128" i="2" s="1"/>
  <c r="D129" i="2" s="1"/>
  <c r="T26" i="1"/>
  <c r="D98" i="2" s="1"/>
  <c r="S26" i="1"/>
  <c r="D84" i="2" s="1"/>
  <c r="Q26" i="1"/>
  <c r="D58" i="2" s="1"/>
  <c r="P26" i="1"/>
  <c r="D70" i="2" s="1"/>
  <c r="O26" i="1"/>
  <c r="E34" i="2" s="1"/>
  <c r="N26" i="1"/>
  <c r="D46" i="2" s="1"/>
  <c r="L26" i="1"/>
  <c r="D22" i="2" s="1"/>
  <c r="K26" i="1"/>
  <c r="D10" i="2" s="1"/>
  <c r="H26" i="1"/>
  <c r="D112" i="2" s="1"/>
  <c r="T25" i="1"/>
  <c r="D97" i="2" s="1"/>
  <c r="S25" i="1"/>
  <c r="D83" i="2" s="1"/>
  <c r="Q25" i="1"/>
  <c r="P25" i="1"/>
  <c r="O25" i="1"/>
  <c r="N25" i="1"/>
  <c r="L25" i="1"/>
  <c r="K25" i="1"/>
  <c r="H25" i="1"/>
  <c r="D111" i="2" s="1"/>
  <c r="T24" i="1"/>
  <c r="D96" i="2" s="1"/>
  <c r="S24" i="1"/>
  <c r="D82" i="2" s="1"/>
  <c r="Q24" i="1"/>
  <c r="P24" i="1"/>
  <c r="O24" i="1"/>
  <c r="N24" i="1"/>
  <c r="L24" i="1"/>
  <c r="K24" i="1"/>
  <c r="H24" i="1"/>
  <c r="D110" i="2" s="1"/>
  <c r="T23" i="1"/>
  <c r="D95" i="2" s="1"/>
  <c r="S23" i="1"/>
  <c r="D81" i="2" s="1"/>
  <c r="Q23" i="1"/>
  <c r="P23" i="1"/>
  <c r="D69" i="2" s="1"/>
  <c r="O23" i="1"/>
  <c r="N23" i="1"/>
  <c r="L23" i="1"/>
  <c r="K23" i="1"/>
  <c r="H23" i="1"/>
  <c r="D109" i="2" s="1"/>
  <c r="T22" i="1"/>
  <c r="D94" i="2" s="1"/>
  <c r="S22" i="1"/>
  <c r="D80" i="2" s="1"/>
  <c r="Q22" i="1"/>
  <c r="D56" i="2" s="1"/>
  <c r="P22" i="1"/>
  <c r="D68" i="2" s="1"/>
  <c r="O22" i="1"/>
  <c r="D32" i="2" s="1"/>
  <c r="N22" i="1"/>
  <c r="D44" i="2" s="1"/>
  <c r="L22" i="1"/>
  <c r="D20" i="2" s="1"/>
  <c r="K22" i="1"/>
  <c r="D8" i="2" s="1"/>
  <c r="H22" i="1"/>
  <c r="D108" i="2" s="1"/>
  <c r="T21" i="1"/>
  <c r="D93" i="2" s="1"/>
  <c r="S21" i="1"/>
  <c r="D79" i="2" s="1"/>
  <c r="Q21" i="1"/>
  <c r="D55" i="2" s="1"/>
  <c r="P21" i="1"/>
  <c r="D67" i="2" s="1"/>
  <c r="O21" i="1"/>
  <c r="D31" i="2" s="1"/>
  <c r="N21" i="1"/>
  <c r="D43" i="2" s="1"/>
  <c r="L21" i="1"/>
  <c r="D19" i="2" s="1"/>
  <c r="K21" i="1"/>
  <c r="D7" i="2" s="1"/>
  <c r="H21" i="1"/>
  <c r="D107" i="2" s="1"/>
  <c r="T20" i="1"/>
  <c r="D92" i="2" s="1"/>
  <c r="S20" i="1"/>
  <c r="D78" i="2" s="1"/>
  <c r="Q20" i="1"/>
  <c r="D54" i="2" s="1"/>
  <c r="P20" i="1"/>
  <c r="D66" i="2" s="1"/>
  <c r="O20" i="1"/>
  <c r="D30" i="2" s="1"/>
  <c r="N20" i="1"/>
  <c r="D42" i="2" s="1"/>
  <c r="L20" i="1"/>
  <c r="D18" i="2" s="1"/>
  <c r="H20" i="1"/>
  <c r="D106" i="2" s="1"/>
  <c r="G20" i="1"/>
  <c r="G27" i="1" s="1"/>
  <c r="T19" i="1"/>
  <c r="D91" i="2" s="1"/>
  <c r="S19" i="1"/>
  <c r="D77" i="2" s="1"/>
  <c r="Q19" i="1"/>
  <c r="D53" i="2" s="1"/>
  <c r="P19" i="1"/>
  <c r="D65" i="2" s="1"/>
  <c r="O19" i="1"/>
  <c r="D29" i="2" s="1"/>
  <c r="N19" i="1"/>
  <c r="D41" i="2" s="1"/>
  <c r="L19" i="1"/>
  <c r="D17" i="2" s="1"/>
  <c r="K19" i="1"/>
  <c r="D5" i="2" s="1"/>
  <c r="H19" i="1"/>
  <c r="T18" i="1"/>
  <c r="D90" i="2" s="1"/>
  <c r="S18" i="1"/>
  <c r="D76" i="2" s="1"/>
  <c r="Q18" i="1"/>
  <c r="D52" i="2" s="1"/>
  <c r="P18" i="1"/>
  <c r="D64" i="2" s="1"/>
  <c r="O18" i="1"/>
  <c r="D28" i="2" s="1"/>
  <c r="N18" i="1"/>
  <c r="D40" i="2" s="1"/>
  <c r="L18" i="1"/>
  <c r="D16" i="2" s="1"/>
  <c r="K18" i="1"/>
  <c r="D4" i="2" s="1"/>
  <c r="H18" i="1"/>
  <c r="D104" i="2" s="1"/>
  <c r="T17" i="1"/>
  <c r="D89" i="2" s="1"/>
  <c r="S17" i="1"/>
  <c r="D75" i="2" s="1"/>
  <c r="Q17" i="1"/>
  <c r="D51" i="2" s="1"/>
  <c r="P17" i="1"/>
  <c r="D63" i="2" s="1"/>
  <c r="O17" i="1"/>
  <c r="D27" i="2" s="1"/>
  <c r="N17" i="1"/>
  <c r="D39" i="2" s="1"/>
  <c r="L17" i="1"/>
  <c r="D15" i="2" s="1"/>
  <c r="K17" i="1"/>
  <c r="D3" i="2" s="1"/>
  <c r="H17" i="1"/>
  <c r="D103" i="2" s="1"/>
  <c r="Q14" i="1"/>
  <c r="C60" i="2" s="1"/>
  <c r="P14" i="1"/>
  <c r="C72" i="2" s="1"/>
  <c r="O14" i="1"/>
  <c r="N14" i="1"/>
  <c r="C48" i="2" s="1"/>
  <c r="L14" i="1"/>
  <c r="C24" i="2" s="1"/>
  <c r="K14" i="1"/>
  <c r="C12" i="2" s="1"/>
  <c r="H14" i="1"/>
  <c r="R14" i="1" s="1"/>
  <c r="F13" i="1"/>
  <c r="D127" i="2" s="1"/>
  <c r="E13" i="1"/>
  <c r="C127" i="2" s="1"/>
  <c r="C13" i="1"/>
  <c r="S27" i="1" s="1"/>
  <c r="D85" i="2" s="1"/>
  <c r="Q12" i="1"/>
  <c r="C58" i="2" s="1"/>
  <c r="P12" i="1"/>
  <c r="C70" i="2" s="1"/>
  <c r="O12" i="1"/>
  <c r="L12" i="1"/>
  <c r="C22" i="2" s="1"/>
  <c r="K12" i="1"/>
  <c r="C10" i="2" s="1"/>
  <c r="H12" i="1"/>
  <c r="C112" i="2" s="1"/>
  <c r="Q11" i="1"/>
  <c r="P11" i="1"/>
  <c r="O11" i="1"/>
  <c r="N11" i="1"/>
  <c r="L11" i="1"/>
  <c r="K11" i="1"/>
  <c r="H11" i="1"/>
  <c r="C111" i="2" s="1"/>
  <c r="Q10" i="1"/>
  <c r="P10" i="1"/>
  <c r="O10" i="1"/>
  <c r="N10" i="1"/>
  <c r="L10" i="1"/>
  <c r="K10" i="1"/>
  <c r="H10" i="1"/>
  <c r="C110" i="2" s="1"/>
  <c r="Q9" i="1"/>
  <c r="P9" i="1"/>
  <c r="C69" i="2" s="1"/>
  <c r="O9" i="1"/>
  <c r="N9" i="1"/>
  <c r="L9" i="1"/>
  <c r="H9" i="1"/>
  <c r="C109" i="2" s="1"/>
  <c r="G9" i="1"/>
  <c r="C9" i="2" s="1"/>
  <c r="Q8" i="1"/>
  <c r="C56" i="2" s="1"/>
  <c r="P8" i="1"/>
  <c r="C68" i="2" s="1"/>
  <c r="O8" i="1"/>
  <c r="C32" i="2" s="1"/>
  <c r="N8" i="1"/>
  <c r="C44" i="2" s="1"/>
  <c r="L8" i="1"/>
  <c r="C20" i="2" s="1"/>
  <c r="K8" i="1"/>
  <c r="C8" i="2" s="1"/>
  <c r="H8" i="1"/>
  <c r="C108" i="2" s="1"/>
  <c r="Q7" i="1"/>
  <c r="C55" i="2" s="1"/>
  <c r="P7" i="1"/>
  <c r="C67" i="2" s="1"/>
  <c r="O7" i="1"/>
  <c r="C31" i="2" s="1"/>
  <c r="N7" i="1"/>
  <c r="C43" i="2" s="1"/>
  <c r="L7" i="1"/>
  <c r="C19" i="2" s="1"/>
  <c r="K7" i="1"/>
  <c r="C7" i="2" s="1"/>
  <c r="H7" i="1"/>
  <c r="C107" i="2" s="1"/>
  <c r="Q6" i="1"/>
  <c r="C54" i="2" s="1"/>
  <c r="P6" i="1"/>
  <c r="C66" i="2" s="1"/>
  <c r="O6" i="1"/>
  <c r="C30" i="2" s="1"/>
  <c r="N6" i="1"/>
  <c r="C42" i="2" s="1"/>
  <c r="L6" i="1"/>
  <c r="C18" i="2" s="1"/>
  <c r="H6" i="1"/>
  <c r="C106" i="2" s="1"/>
  <c r="G6" i="1"/>
  <c r="G13" i="1" s="1"/>
  <c r="Q5" i="1"/>
  <c r="C53" i="2" s="1"/>
  <c r="P5" i="1"/>
  <c r="C65" i="2" s="1"/>
  <c r="O5" i="1"/>
  <c r="C29" i="2" s="1"/>
  <c r="N5" i="1"/>
  <c r="C41" i="2" s="1"/>
  <c r="L5" i="1"/>
  <c r="C17" i="2" s="1"/>
  <c r="K5" i="1"/>
  <c r="C5" i="2" s="1"/>
  <c r="H5" i="1"/>
  <c r="Q4" i="1"/>
  <c r="C52" i="2" s="1"/>
  <c r="P4" i="1"/>
  <c r="C64" i="2" s="1"/>
  <c r="O4" i="1"/>
  <c r="C28" i="2" s="1"/>
  <c r="N4" i="1"/>
  <c r="C40" i="2" s="1"/>
  <c r="L4" i="1"/>
  <c r="C16" i="2" s="1"/>
  <c r="K4" i="1"/>
  <c r="C4" i="2" s="1"/>
  <c r="H4" i="1"/>
  <c r="C104" i="2" s="1"/>
  <c r="Q3" i="1"/>
  <c r="C51" i="2" s="1"/>
  <c r="P3" i="1"/>
  <c r="C63" i="2" s="1"/>
  <c r="O3" i="1"/>
  <c r="C27" i="2" s="1"/>
  <c r="N3" i="1"/>
  <c r="C39" i="2" s="1"/>
  <c r="L3" i="1"/>
  <c r="C15" i="2" s="1"/>
  <c r="K3" i="1"/>
  <c r="C3" i="2" s="1"/>
  <c r="H3" i="1"/>
  <c r="C103" i="2" s="1"/>
  <c r="E127" i="2" l="1"/>
  <c r="K13" i="1"/>
  <c r="C11" i="2" s="1"/>
  <c r="E128" i="2"/>
  <c r="K27" i="1"/>
  <c r="D11" i="2" s="1"/>
  <c r="E169" i="2"/>
  <c r="R517" i="1"/>
  <c r="K517" i="1"/>
  <c r="AM11" i="2" s="1"/>
  <c r="R3" i="1"/>
  <c r="R4" i="1"/>
  <c r="L127" i="2"/>
  <c r="C105" i="2"/>
  <c r="R5" i="1"/>
  <c r="K6" i="1"/>
  <c r="C6" i="2" s="1"/>
  <c r="R6" i="1"/>
  <c r="R7" i="1"/>
  <c r="R8" i="1"/>
  <c r="K9" i="1"/>
  <c r="R9" i="1"/>
  <c r="R10" i="1"/>
  <c r="R11" i="1"/>
  <c r="D34" i="2"/>
  <c r="C34" i="2"/>
  <c r="R12" i="1"/>
  <c r="H13" i="1"/>
  <c r="F127" i="2" s="1"/>
  <c r="L13" i="1"/>
  <c r="C23" i="2" s="1"/>
  <c r="N13" i="1"/>
  <c r="C47" i="2" s="1"/>
  <c r="O13" i="1"/>
  <c r="P13" i="1"/>
  <c r="C71" i="2" s="1"/>
  <c r="Q13" i="1"/>
  <c r="C59" i="2" s="1"/>
  <c r="D36" i="2"/>
  <c r="C36" i="2"/>
  <c r="M17" i="1"/>
  <c r="R17" i="1"/>
  <c r="M18" i="1"/>
  <c r="R18" i="1"/>
  <c r="L128" i="2"/>
  <c r="D105" i="2"/>
  <c r="M19" i="1"/>
  <c r="R19" i="1"/>
  <c r="K20" i="1"/>
  <c r="D6" i="2" s="1"/>
  <c r="M20" i="1"/>
  <c r="R20" i="1"/>
  <c r="M21" i="1"/>
  <c r="R21" i="1"/>
  <c r="M22" i="1"/>
  <c r="R22" i="1"/>
  <c r="M23" i="1"/>
  <c r="R23" i="1"/>
  <c r="M24" i="1"/>
  <c r="R24" i="1"/>
  <c r="M25" i="1"/>
  <c r="R25" i="1"/>
  <c r="M26" i="1"/>
  <c r="R26" i="1"/>
  <c r="H27" i="1"/>
  <c r="N27" i="1"/>
  <c r="D47" i="2" s="1"/>
  <c r="O27" i="1"/>
  <c r="E35" i="2" s="1"/>
  <c r="P27" i="1"/>
  <c r="D71" i="2" s="1"/>
  <c r="Q27" i="1"/>
  <c r="D59" i="2" s="1"/>
  <c r="T27" i="1"/>
  <c r="D99" i="2" s="1"/>
  <c r="M28" i="1"/>
  <c r="E15" i="2"/>
  <c r="M31" i="1"/>
  <c r="R31" i="1"/>
  <c r="E16" i="2"/>
  <c r="M32" i="1"/>
  <c r="R32" i="1"/>
  <c r="L130" i="2"/>
  <c r="E105" i="2"/>
  <c r="E17" i="2"/>
  <c r="M33" i="1"/>
  <c r="R33" i="1"/>
  <c r="E18" i="2"/>
  <c r="M34" i="1"/>
  <c r="R34" i="1"/>
  <c r="E19" i="2"/>
  <c r="M35" i="1"/>
  <c r="R35" i="1"/>
  <c r="E20" i="2"/>
  <c r="M36" i="1"/>
  <c r="R36" i="1"/>
  <c r="K37" i="1"/>
  <c r="M37" i="1"/>
  <c r="R37" i="1"/>
  <c r="M38" i="1"/>
  <c r="R38" i="1"/>
  <c r="M39" i="1"/>
  <c r="R39" i="1"/>
  <c r="E22" i="2"/>
  <c r="M40" i="1"/>
  <c r="R40" i="1"/>
  <c r="G41" i="1"/>
  <c r="H41" i="1"/>
  <c r="E23" i="2"/>
  <c r="N41" i="1"/>
  <c r="E47" i="2" s="1"/>
  <c r="O41" i="1"/>
  <c r="P41" i="1"/>
  <c r="E71" i="2" s="1"/>
  <c r="Q41" i="1"/>
  <c r="E59" i="2" s="1"/>
  <c r="T41" i="1"/>
  <c r="E99" i="2" s="1"/>
  <c r="W41" i="1"/>
  <c r="E24" i="2"/>
  <c r="M42" i="1"/>
  <c r="M45" i="1"/>
  <c r="R45" i="1"/>
  <c r="M46" i="1"/>
  <c r="R46" i="1"/>
  <c r="L131" i="2"/>
  <c r="F105" i="2"/>
  <c r="M47" i="1"/>
  <c r="R47" i="1"/>
  <c r="M48" i="1"/>
  <c r="R48" i="1"/>
  <c r="M49" i="1"/>
  <c r="R49" i="1"/>
  <c r="M50" i="1"/>
  <c r="R50" i="1"/>
  <c r="K51" i="1"/>
  <c r="M51" i="1"/>
  <c r="R51" i="1"/>
  <c r="M52" i="1"/>
  <c r="R52" i="1"/>
  <c r="M53" i="1"/>
  <c r="R53" i="1"/>
  <c r="M54" i="1"/>
  <c r="R54" i="1"/>
  <c r="G55" i="1"/>
  <c r="H55" i="1"/>
  <c r="N55" i="1"/>
  <c r="F47" i="2" s="1"/>
  <c r="O55" i="1"/>
  <c r="F35" i="2" s="1"/>
  <c r="P55" i="1"/>
  <c r="F71" i="2" s="1"/>
  <c r="Q55" i="1"/>
  <c r="F59" i="2" s="1"/>
  <c r="T55" i="1"/>
  <c r="F99" i="2" s="1"/>
  <c r="M56" i="1"/>
  <c r="M59" i="1"/>
  <c r="R59" i="1"/>
  <c r="M60" i="1"/>
  <c r="R60" i="1"/>
  <c r="L132" i="2"/>
  <c r="G105" i="2"/>
  <c r="M61" i="1"/>
  <c r="R61" i="1"/>
  <c r="M62" i="1"/>
  <c r="R62" i="1"/>
  <c r="M63" i="1"/>
  <c r="R63" i="1"/>
  <c r="M64" i="1"/>
  <c r="R64" i="1"/>
  <c r="K65" i="1"/>
  <c r="M65" i="1"/>
  <c r="R65" i="1"/>
  <c r="M66" i="1"/>
  <c r="R66" i="1"/>
  <c r="M67" i="1"/>
  <c r="R67" i="1"/>
  <c r="M68" i="1"/>
  <c r="R68" i="1"/>
  <c r="G69" i="1"/>
  <c r="H69" i="1"/>
  <c r="N69" i="1"/>
  <c r="G47" i="2" s="1"/>
  <c r="O69" i="1"/>
  <c r="G35" i="2" s="1"/>
  <c r="P69" i="1"/>
  <c r="G71" i="2" s="1"/>
  <c r="Q69" i="1"/>
  <c r="G59" i="2" s="1"/>
  <c r="T69" i="1"/>
  <c r="G99" i="2" s="1"/>
  <c r="M70" i="1"/>
  <c r="M73" i="1"/>
  <c r="R73" i="1"/>
  <c r="M74" i="1"/>
  <c r="R74" i="1"/>
  <c r="L133" i="2"/>
  <c r="H105" i="2"/>
  <c r="M75" i="1"/>
  <c r="R75" i="1"/>
  <c r="M76" i="1"/>
  <c r="R76" i="1"/>
  <c r="M77" i="1"/>
  <c r="R77" i="1"/>
  <c r="M78" i="1"/>
  <c r="R78" i="1"/>
  <c r="K79" i="1"/>
  <c r="M79" i="1"/>
  <c r="R79" i="1"/>
  <c r="M80" i="1"/>
  <c r="R80" i="1"/>
  <c r="M81" i="1"/>
  <c r="R81" i="1"/>
  <c r="M82" i="1"/>
  <c r="R82" i="1"/>
  <c r="G83" i="1"/>
  <c r="H83" i="1"/>
  <c r="N83" i="1"/>
  <c r="H47" i="2" s="1"/>
  <c r="O83" i="1"/>
  <c r="H35" i="2" s="1"/>
  <c r="P83" i="1"/>
  <c r="H71" i="2" s="1"/>
  <c r="Q83" i="1"/>
  <c r="H59" i="2" s="1"/>
  <c r="T83" i="1"/>
  <c r="H99" i="2" s="1"/>
  <c r="M84" i="1"/>
  <c r="M87" i="1"/>
  <c r="R87" i="1"/>
  <c r="M88" i="1"/>
  <c r="R88" i="1"/>
  <c r="L134" i="2"/>
  <c r="I105" i="2"/>
  <c r="M89" i="1"/>
  <c r="R89" i="1"/>
  <c r="M90" i="1"/>
  <c r="R90" i="1"/>
  <c r="M91" i="1"/>
  <c r="R91" i="1"/>
  <c r="M92" i="1"/>
  <c r="R92" i="1"/>
  <c r="K93" i="1"/>
  <c r="M93" i="1"/>
  <c r="R93" i="1"/>
  <c r="M94" i="1"/>
  <c r="R94" i="1"/>
  <c r="M95" i="1"/>
  <c r="R95" i="1"/>
  <c r="M96" i="1"/>
  <c r="R96" i="1"/>
  <c r="G97" i="1"/>
  <c r="M97" i="1"/>
  <c r="T97" i="1"/>
  <c r="I99" i="2" s="1"/>
  <c r="M98" i="1"/>
  <c r="J15" i="2"/>
  <c r="M101" i="1"/>
  <c r="R101" i="1"/>
  <c r="J16" i="2"/>
  <c r="M102" i="1"/>
  <c r="R102" i="1"/>
  <c r="L135" i="2"/>
  <c r="J105" i="2"/>
  <c r="J17" i="2"/>
  <c r="M103" i="1"/>
  <c r="R103" i="1"/>
  <c r="J18" i="2"/>
  <c r="M104" i="1"/>
  <c r="R104" i="1"/>
  <c r="J19" i="2"/>
  <c r="M105" i="1"/>
  <c r="R105" i="1"/>
  <c r="J20" i="2"/>
  <c r="M106" i="1"/>
  <c r="R106" i="1"/>
  <c r="K107" i="1"/>
  <c r="M107" i="1"/>
  <c r="R107" i="1"/>
  <c r="M108" i="1"/>
  <c r="R108" i="1"/>
  <c r="M109" i="1"/>
  <c r="R109" i="1"/>
  <c r="J22" i="2"/>
  <c r="M110" i="1"/>
  <c r="R110" i="1"/>
  <c r="G111" i="1"/>
  <c r="J23" i="2"/>
  <c r="M111" i="1"/>
  <c r="J24" i="2"/>
  <c r="M112" i="1"/>
  <c r="M115" i="1"/>
  <c r="R115" i="1"/>
  <c r="M116" i="1"/>
  <c r="R116" i="1"/>
  <c r="L137" i="2"/>
  <c r="K105" i="2"/>
  <c r="M117" i="1"/>
  <c r="R117" i="1"/>
  <c r="M118" i="1"/>
  <c r="R118" i="1"/>
  <c r="M119" i="1"/>
  <c r="R119" i="1"/>
  <c r="M120" i="1"/>
  <c r="R120" i="1"/>
  <c r="K121" i="1"/>
  <c r="M121" i="1"/>
  <c r="R121" i="1"/>
  <c r="M122" i="1"/>
  <c r="R122" i="1"/>
  <c r="M123" i="1"/>
  <c r="R123" i="1"/>
  <c r="M124" i="1"/>
  <c r="R124" i="1"/>
  <c r="G125" i="1"/>
  <c r="M125" i="1"/>
  <c r="M126" i="1"/>
  <c r="M129" i="1"/>
  <c r="R129" i="1"/>
  <c r="M130" i="1"/>
  <c r="R130" i="1"/>
  <c r="L138" i="2"/>
  <c r="L105" i="2"/>
  <c r="M131" i="1"/>
  <c r="R131" i="1"/>
  <c r="M132" i="1"/>
  <c r="R132" i="1"/>
  <c r="M133" i="1"/>
  <c r="R133" i="1"/>
  <c r="M134" i="1"/>
  <c r="R134" i="1"/>
  <c r="K135" i="1"/>
  <c r="M135" i="1"/>
  <c r="R135" i="1"/>
  <c r="M136" i="1"/>
  <c r="R136" i="1"/>
  <c r="M137" i="1"/>
  <c r="R137" i="1"/>
  <c r="M138" i="1"/>
  <c r="R138" i="1"/>
  <c r="G139" i="1"/>
  <c r="M139" i="1"/>
  <c r="M140" i="1"/>
  <c r="M143" i="1"/>
  <c r="R143" i="1"/>
  <c r="M144" i="1"/>
  <c r="R144" i="1"/>
  <c r="L139" i="2"/>
  <c r="M105" i="2"/>
  <c r="M145" i="1"/>
  <c r="R145" i="1"/>
  <c r="M146" i="1"/>
  <c r="R146" i="1"/>
  <c r="M147" i="1"/>
  <c r="R147" i="1"/>
  <c r="M148" i="1"/>
  <c r="R148" i="1"/>
  <c r="K149" i="1"/>
  <c r="M149" i="1"/>
  <c r="R149" i="1"/>
  <c r="M150" i="1"/>
  <c r="R150" i="1"/>
  <c r="M151" i="1"/>
  <c r="R151" i="1"/>
  <c r="M152" i="1"/>
  <c r="R152" i="1"/>
  <c r="G153" i="1"/>
  <c r="M153" i="1"/>
  <c r="M154" i="1"/>
  <c r="M157" i="1"/>
  <c r="R157" i="1"/>
  <c r="M158" i="1"/>
  <c r="R158" i="1"/>
  <c r="L140" i="2"/>
  <c r="N105" i="2"/>
  <c r="M159" i="1"/>
  <c r="R159" i="1"/>
  <c r="M160" i="1"/>
  <c r="R160" i="1"/>
  <c r="M161" i="1"/>
  <c r="R161" i="1"/>
  <c r="M162" i="1"/>
  <c r="R162" i="1"/>
  <c r="N109" i="2"/>
  <c r="N57" i="2"/>
  <c r="K163" i="1"/>
  <c r="M163" i="1"/>
  <c r="R163" i="1"/>
  <c r="M164" i="1"/>
  <c r="R164" i="1"/>
  <c r="M165" i="1"/>
  <c r="R165" i="1"/>
  <c r="M166" i="1"/>
  <c r="R166" i="1"/>
  <c r="G167" i="1"/>
  <c r="M167" i="1"/>
  <c r="M168" i="1"/>
  <c r="M171" i="1"/>
  <c r="R171" i="1"/>
  <c r="M172" i="1"/>
  <c r="R172" i="1"/>
  <c r="L141" i="2"/>
  <c r="O105" i="2"/>
  <c r="M173" i="1"/>
  <c r="R173" i="1"/>
  <c r="M174" i="1"/>
  <c r="R174" i="1"/>
  <c r="M175" i="1"/>
  <c r="R175" i="1"/>
  <c r="M176" i="1"/>
  <c r="R176" i="1"/>
  <c r="O109" i="2"/>
  <c r="O57" i="2"/>
  <c r="K177" i="1"/>
  <c r="M177" i="1"/>
  <c r="R177" i="1"/>
  <c r="M178" i="1"/>
  <c r="R178" i="1"/>
  <c r="M179" i="1"/>
  <c r="R179" i="1"/>
  <c r="M180" i="1"/>
  <c r="R180" i="1"/>
  <c r="G181" i="1"/>
  <c r="M181" i="1"/>
  <c r="M182" i="1"/>
  <c r="P15" i="2"/>
  <c r="M185" i="1"/>
  <c r="R185" i="1"/>
  <c r="P16" i="2"/>
  <c r="M186" i="1"/>
  <c r="R186" i="1"/>
  <c r="L142" i="2"/>
  <c r="P105" i="2"/>
  <c r="P17" i="2"/>
  <c r="M187" i="1"/>
  <c r="R187" i="1"/>
  <c r="P18" i="2"/>
  <c r="M188" i="1"/>
  <c r="R188" i="1"/>
  <c r="P19" i="2"/>
  <c r="M189" i="1"/>
  <c r="R189" i="1"/>
  <c r="P20" i="2"/>
  <c r="M190" i="1"/>
  <c r="R190" i="1"/>
  <c r="P109" i="2"/>
  <c r="P57" i="2"/>
  <c r="K191" i="1"/>
  <c r="M191" i="1"/>
  <c r="R191" i="1"/>
  <c r="M192" i="1"/>
  <c r="R192" i="1"/>
  <c r="M193" i="1"/>
  <c r="R193" i="1"/>
  <c r="P22" i="2"/>
  <c r="M194" i="1"/>
  <c r="R194" i="1"/>
  <c r="G195" i="1"/>
  <c r="P23" i="2"/>
  <c r="M195" i="1"/>
  <c r="P24" i="2"/>
  <c r="M196" i="1"/>
  <c r="M199" i="1"/>
  <c r="R199" i="1"/>
  <c r="M200" i="1"/>
  <c r="R200" i="1"/>
  <c r="L144" i="2"/>
  <c r="Q105" i="2"/>
  <c r="M201" i="1"/>
  <c r="R201" i="1"/>
  <c r="M202" i="1"/>
  <c r="R202" i="1"/>
  <c r="M203" i="1"/>
  <c r="R203" i="1"/>
  <c r="M204" i="1"/>
  <c r="R204" i="1"/>
  <c r="Q109" i="2"/>
  <c r="Q57" i="2"/>
  <c r="M205" i="1"/>
  <c r="R205" i="1"/>
  <c r="M206" i="1"/>
  <c r="R206" i="1"/>
  <c r="M207" i="1"/>
  <c r="R207" i="1"/>
  <c r="M208" i="1"/>
  <c r="R208" i="1"/>
  <c r="K209" i="1"/>
  <c r="Q11" i="2" s="1"/>
  <c r="M209" i="1"/>
  <c r="R209" i="1"/>
  <c r="M210" i="1"/>
  <c r="M213" i="1"/>
  <c r="R213" i="1"/>
  <c r="M214" i="1"/>
  <c r="R214" i="1"/>
  <c r="L145" i="2"/>
  <c r="R105" i="2"/>
  <c r="M215" i="1"/>
  <c r="R215" i="1"/>
  <c r="M216" i="1"/>
  <c r="R216" i="1"/>
  <c r="M217" i="1"/>
  <c r="R217" i="1"/>
  <c r="M218" i="1"/>
  <c r="R218" i="1"/>
  <c r="R109" i="2"/>
  <c r="R57" i="2"/>
  <c r="K219" i="1"/>
  <c r="M219" i="1"/>
  <c r="R219" i="1"/>
  <c r="M220" i="1"/>
  <c r="R220" i="1"/>
  <c r="M221" i="1"/>
  <c r="R221" i="1"/>
  <c r="M222" i="1"/>
  <c r="R222" i="1"/>
  <c r="G223" i="1"/>
  <c r="M223" i="1"/>
  <c r="M224" i="1"/>
  <c r="M227" i="1"/>
  <c r="R227" i="1"/>
  <c r="M228" i="1"/>
  <c r="R228" i="1"/>
  <c r="L146" i="2"/>
  <c r="S105" i="2"/>
  <c r="M229" i="1"/>
  <c r="R229" i="1"/>
  <c r="M230" i="1"/>
  <c r="R230" i="1"/>
  <c r="M231" i="1"/>
  <c r="R231" i="1"/>
  <c r="M232" i="1"/>
  <c r="R232" i="1"/>
  <c r="S109" i="2"/>
  <c r="S57" i="2"/>
  <c r="K233" i="1"/>
  <c r="M233" i="1"/>
  <c r="R233" i="1"/>
  <c r="M234" i="1"/>
  <c r="R234" i="1"/>
  <c r="M235" i="1"/>
  <c r="R235" i="1"/>
  <c r="M236" i="1"/>
  <c r="R236" i="1"/>
  <c r="G237" i="1"/>
  <c r="M237" i="1"/>
  <c r="M238" i="1"/>
  <c r="M241" i="1"/>
  <c r="R241" i="1"/>
  <c r="M242" i="1"/>
  <c r="R242" i="1"/>
  <c r="L147" i="2"/>
  <c r="T105" i="2"/>
  <c r="M243" i="1"/>
  <c r="R243" i="1"/>
  <c r="M244" i="1"/>
  <c r="R244" i="1"/>
  <c r="M245" i="1"/>
  <c r="R245" i="1"/>
  <c r="M246" i="1"/>
  <c r="R246" i="1"/>
  <c r="T109" i="2"/>
  <c r="T57" i="2"/>
  <c r="K247" i="1"/>
  <c r="M247" i="1"/>
  <c r="R247" i="1"/>
  <c r="M248" i="1"/>
  <c r="R248" i="1"/>
  <c r="M249" i="1"/>
  <c r="R249" i="1"/>
  <c r="M250" i="1"/>
  <c r="R250" i="1"/>
  <c r="G251" i="1"/>
  <c r="M251" i="1"/>
  <c r="M252" i="1"/>
  <c r="M255" i="1"/>
  <c r="R255" i="1"/>
  <c r="M256" i="1"/>
  <c r="R256" i="1"/>
  <c r="L148" i="2"/>
  <c r="U105" i="2"/>
  <c r="M257" i="1"/>
  <c r="R257" i="1"/>
  <c r="M258" i="1"/>
  <c r="R258" i="1"/>
  <c r="M259" i="1"/>
  <c r="R259" i="1"/>
  <c r="M260" i="1"/>
  <c r="R260" i="1"/>
  <c r="U109" i="2"/>
  <c r="U57" i="2"/>
  <c r="K261" i="1"/>
  <c r="M261" i="1"/>
  <c r="R261" i="1"/>
  <c r="M262" i="1"/>
  <c r="R262" i="1"/>
  <c r="M263" i="1"/>
  <c r="R263" i="1"/>
  <c r="M264" i="1"/>
  <c r="R264" i="1"/>
  <c r="G265" i="1"/>
  <c r="M265" i="1"/>
  <c r="M266" i="1"/>
  <c r="V15" i="2"/>
  <c r="M269" i="1"/>
  <c r="R269" i="1"/>
  <c r="V16" i="2"/>
  <c r="M270" i="1"/>
  <c r="R270" i="1"/>
  <c r="L149" i="2"/>
  <c r="V105" i="2"/>
  <c r="V17" i="2"/>
  <c r="M271" i="1"/>
  <c r="R271" i="1"/>
  <c r="V18" i="2"/>
  <c r="M272" i="1"/>
  <c r="R272" i="1"/>
  <c r="V19" i="2"/>
  <c r="M273" i="1"/>
  <c r="R273" i="1"/>
  <c r="V20" i="2"/>
  <c r="M274" i="1"/>
  <c r="R274" i="1"/>
  <c r="V109" i="2"/>
  <c r="V57" i="2"/>
  <c r="K275" i="1"/>
  <c r="M275" i="1"/>
  <c r="R275" i="1"/>
  <c r="M276" i="1"/>
  <c r="R276" i="1"/>
  <c r="M277" i="1"/>
  <c r="R277" i="1"/>
  <c r="V22" i="2"/>
  <c r="M278" i="1"/>
  <c r="R278" i="1"/>
  <c r="G279" i="1"/>
  <c r="V23" i="2"/>
  <c r="M279" i="1"/>
  <c r="H280" i="1"/>
  <c r="V24" i="2"/>
  <c r="N280" i="1"/>
  <c r="V48" i="2" s="1"/>
  <c r="M283" i="1"/>
  <c r="R283" i="1"/>
  <c r="M284" i="1"/>
  <c r="R284" i="1"/>
  <c r="L151" i="2"/>
  <c r="W105" i="2"/>
  <c r="M285" i="1"/>
  <c r="R285" i="1"/>
  <c r="M286" i="1"/>
  <c r="R286" i="1"/>
  <c r="M287" i="1"/>
  <c r="R287" i="1"/>
  <c r="M288" i="1"/>
  <c r="R288" i="1"/>
  <c r="W109" i="2"/>
  <c r="W57" i="2"/>
  <c r="K289" i="1"/>
  <c r="M289" i="1"/>
  <c r="R289" i="1"/>
  <c r="M290" i="1"/>
  <c r="R290" i="1"/>
  <c r="M291" i="1"/>
  <c r="R291" i="1"/>
  <c r="M292" i="1"/>
  <c r="R292" i="1"/>
  <c r="G293" i="1"/>
  <c r="M293" i="1"/>
  <c r="M294" i="1"/>
  <c r="M297" i="1"/>
  <c r="R297" i="1"/>
  <c r="M298" i="1"/>
  <c r="R298" i="1"/>
  <c r="L152" i="2"/>
  <c r="X105" i="2"/>
  <c r="M299" i="1"/>
  <c r="R299" i="1"/>
  <c r="M300" i="1"/>
  <c r="R300" i="1"/>
  <c r="M301" i="1"/>
  <c r="R301" i="1"/>
  <c r="M302" i="1"/>
  <c r="R302" i="1"/>
  <c r="X109" i="2"/>
  <c r="X57" i="2"/>
  <c r="K303" i="1"/>
  <c r="M303" i="1"/>
  <c r="R303" i="1"/>
  <c r="M304" i="1"/>
  <c r="R304" i="1"/>
  <c r="M305" i="1"/>
  <c r="R305" i="1"/>
  <c r="M306" i="1"/>
  <c r="R306" i="1"/>
  <c r="G307" i="1"/>
  <c r="M307" i="1"/>
  <c r="M308" i="1"/>
  <c r="M311" i="1"/>
  <c r="R311" i="1"/>
  <c r="M312" i="1"/>
  <c r="R312" i="1"/>
  <c r="L153" i="2"/>
  <c r="Y105" i="2"/>
  <c r="M313" i="1"/>
  <c r="R313" i="1"/>
  <c r="M314" i="1"/>
  <c r="R314" i="1"/>
  <c r="M315" i="1"/>
  <c r="R315" i="1"/>
  <c r="M316" i="1"/>
  <c r="R316" i="1"/>
  <c r="Y109" i="2"/>
  <c r="Y57" i="2"/>
  <c r="K317" i="1"/>
  <c r="M317" i="1"/>
  <c r="R317" i="1"/>
  <c r="M318" i="1"/>
  <c r="R318" i="1"/>
  <c r="M319" i="1"/>
  <c r="R319" i="1"/>
  <c r="M320" i="1"/>
  <c r="R320" i="1"/>
  <c r="G321" i="1"/>
  <c r="M321" i="1"/>
  <c r="M322" i="1"/>
  <c r="Z15" i="2"/>
  <c r="M325" i="1"/>
  <c r="R325" i="1"/>
  <c r="Z16" i="2"/>
  <c r="M326" i="1"/>
  <c r="R326" i="1"/>
  <c r="L154" i="2"/>
  <c r="Z105" i="2"/>
  <c r="Z17" i="2"/>
  <c r="M327" i="1"/>
  <c r="R327" i="1"/>
  <c r="Z18" i="2"/>
  <c r="M328" i="1"/>
  <c r="R328" i="1"/>
  <c r="Z19" i="2"/>
  <c r="M329" i="1"/>
  <c r="R329" i="1"/>
  <c r="Z20" i="2"/>
  <c r="M330" i="1"/>
  <c r="R330" i="1"/>
  <c r="Z109" i="2"/>
  <c r="Z57" i="2"/>
  <c r="K331" i="1"/>
  <c r="M331" i="1"/>
  <c r="R331" i="1"/>
  <c r="M332" i="1"/>
  <c r="R332" i="1"/>
  <c r="M333" i="1"/>
  <c r="R333" i="1"/>
  <c r="Z22" i="2"/>
  <c r="M334" i="1"/>
  <c r="R334" i="1"/>
  <c r="G335" i="1"/>
  <c r="Z23" i="2"/>
  <c r="M335" i="1"/>
  <c r="Z24" i="2"/>
  <c r="M336" i="1"/>
  <c r="M339" i="1"/>
  <c r="R339" i="1"/>
  <c r="M340" i="1"/>
  <c r="R340" i="1"/>
  <c r="L155" i="2"/>
  <c r="AA105" i="2"/>
  <c r="M341" i="1"/>
  <c r="R341" i="1"/>
  <c r="M342" i="1"/>
  <c r="R342" i="1"/>
  <c r="M343" i="1"/>
  <c r="R343" i="1"/>
  <c r="M344" i="1"/>
  <c r="R344" i="1"/>
  <c r="AA109" i="2"/>
  <c r="AA57" i="2"/>
  <c r="K345" i="1"/>
  <c r="M345" i="1"/>
  <c r="R345" i="1"/>
  <c r="M346" i="1"/>
  <c r="R346" i="1"/>
  <c r="M347" i="1"/>
  <c r="R347" i="1"/>
  <c r="M348" i="1"/>
  <c r="R348" i="1"/>
  <c r="G349" i="1"/>
  <c r="M349" i="1"/>
  <c r="M350" i="1"/>
  <c r="X353" i="1"/>
  <c r="AB717" i="1" s="1"/>
  <c r="AB15" i="2"/>
  <c r="M353" i="1"/>
  <c r="R353" i="1"/>
  <c r="X354" i="1"/>
  <c r="AB718" i="1" s="1"/>
  <c r="AB16" i="2"/>
  <c r="M354" i="1"/>
  <c r="R354" i="1"/>
  <c r="L156" i="2"/>
  <c r="AB105" i="2"/>
  <c r="X355" i="1"/>
  <c r="AB719" i="1" s="1"/>
  <c r="AB17" i="2"/>
  <c r="M355" i="1"/>
  <c r="R355" i="1"/>
  <c r="X356" i="1"/>
  <c r="AB720" i="1" s="1"/>
  <c r="AB18" i="2"/>
  <c r="M356" i="1"/>
  <c r="R356" i="1"/>
  <c r="X357" i="1"/>
  <c r="AB721" i="1" s="1"/>
  <c r="AB19" i="2"/>
  <c r="M357" i="1"/>
  <c r="R357" i="1"/>
  <c r="X358" i="1"/>
  <c r="AB722" i="1" s="1"/>
  <c r="AB20" i="2"/>
  <c r="M358" i="1"/>
  <c r="R358" i="1"/>
  <c r="AB109" i="2"/>
  <c r="AB57" i="2"/>
  <c r="K359" i="1"/>
  <c r="X359" i="1"/>
  <c r="AB723" i="1" s="1"/>
  <c r="M359" i="1"/>
  <c r="R359" i="1"/>
  <c r="X360" i="1"/>
  <c r="AB724" i="1" s="1"/>
  <c r="M360" i="1"/>
  <c r="R360" i="1"/>
  <c r="X361" i="1"/>
  <c r="AB725" i="1" s="1"/>
  <c r="M361" i="1"/>
  <c r="R361" i="1"/>
  <c r="X362" i="1"/>
  <c r="AB726" i="1" s="1"/>
  <c r="AB22" i="2"/>
  <c r="M362" i="1"/>
  <c r="R362" i="1"/>
  <c r="G363" i="1"/>
  <c r="AB23" i="2"/>
  <c r="M363" i="1"/>
  <c r="X364" i="1"/>
  <c r="AB728" i="1" s="1"/>
  <c r="AB24" i="2"/>
  <c r="M364" i="1"/>
  <c r="M367" i="1"/>
  <c r="R367" i="1"/>
  <c r="M368" i="1"/>
  <c r="R368" i="1"/>
  <c r="L158" i="2"/>
  <c r="AC105" i="2"/>
  <c r="M369" i="1"/>
  <c r="R369" i="1"/>
  <c r="M370" i="1"/>
  <c r="R370" i="1"/>
  <c r="M371" i="1"/>
  <c r="R371" i="1"/>
  <c r="M372" i="1"/>
  <c r="R372" i="1"/>
  <c r="AC109" i="2"/>
  <c r="AC57" i="2"/>
  <c r="K373" i="1"/>
  <c r="M373" i="1"/>
  <c r="R373" i="1"/>
  <c r="M374" i="1"/>
  <c r="R374" i="1"/>
  <c r="M375" i="1"/>
  <c r="R375" i="1"/>
  <c r="M376" i="1"/>
  <c r="R376" i="1"/>
  <c r="G377" i="1"/>
  <c r="M377" i="1"/>
  <c r="M378" i="1"/>
  <c r="AD15" i="2"/>
  <c r="M381" i="1"/>
  <c r="R381" i="1"/>
  <c r="AD16" i="2"/>
  <c r="M382" i="1"/>
  <c r="R382" i="1"/>
  <c r="L159" i="2"/>
  <c r="AD105" i="2"/>
  <c r="AD17" i="2"/>
  <c r="M383" i="1"/>
  <c r="R383" i="1"/>
  <c r="AD18" i="2"/>
  <c r="M384" i="1"/>
  <c r="R384" i="1"/>
  <c r="AD19" i="2"/>
  <c r="M385" i="1"/>
  <c r="R385" i="1"/>
  <c r="AD20" i="2"/>
  <c r="M386" i="1"/>
  <c r="R386" i="1"/>
  <c r="AD109" i="2"/>
  <c r="AD57" i="2"/>
  <c r="K387" i="1"/>
  <c r="M387" i="1"/>
  <c r="R387" i="1"/>
  <c r="M388" i="1"/>
  <c r="R388" i="1"/>
  <c r="M389" i="1"/>
  <c r="R389" i="1"/>
  <c r="AD22" i="2"/>
  <c r="M390" i="1"/>
  <c r="R390" i="1"/>
  <c r="G391" i="1"/>
  <c r="AD23" i="2"/>
  <c r="M391" i="1"/>
  <c r="AD24" i="2"/>
  <c r="M392" i="1"/>
  <c r="AE15" i="2"/>
  <c r="M395" i="1"/>
  <c r="R395" i="1"/>
  <c r="AE16" i="2"/>
  <c r="M396" i="1"/>
  <c r="R396" i="1"/>
  <c r="L160" i="2"/>
  <c r="AE105" i="2"/>
  <c r="AE17" i="2"/>
  <c r="M397" i="1"/>
  <c r="R397" i="1"/>
  <c r="AE18" i="2"/>
  <c r="M398" i="1"/>
  <c r="R398" i="1"/>
  <c r="AE19" i="2"/>
  <c r="M399" i="1"/>
  <c r="R399" i="1"/>
  <c r="AE20" i="2"/>
  <c r="M400" i="1"/>
  <c r="R400" i="1"/>
  <c r="AE109" i="2"/>
  <c r="AE57" i="2"/>
  <c r="K401" i="1"/>
  <c r="M401" i="1"/>
  <c r="R401" i="1"/>
  <c r="M402" i="1"/>
  <c r="R402" i="1"/>
  <c r="M403" i="1"/>
  <c r="R403" i="1"/>
  <c r="AE22" i="2"/>
  <c r="M404" i="1"/>
  <c r="R404" i="1"/>
  <c r="G405" i="1"/>
  <c r="AE23" i="2"/>
  <c r="M405" i="1"/>
  <c r="AE24" i="2"/>
  <c r="M406" i="1"/>
  <c r="AF15" i="2"/>
  <c r="M409" i="1"/>
  <c r="R409" i="1"/>
  <c r="AF16" i="2"/>
  <c r="M410" i="1"/>
  <c r="R410" i="1"/>
  <c r="L161" i="2"/>
  <c r="AF105" i="2"/>
  <c r="AF17" i="2"/>
  <c r="M411" i="1"/>
  <c r="R411" i="1"/>
  <c r="AF18" i="2"/>
  <c r="M412" i="1"/>
  <c r="R412" i="1"/>
  <c r="AF19" i="2"/>
  <c r="M413" i="1"/>
  <c r="R413" i="1"/>
  <c r="AF20" i="2"/>
  <c r="M414" i="1"/>
  <c r="R414" i="1"/>
  <c r="AF109" i="2"/>
  <c r="AF57" i="2"/>
  <c r="K415" i="1"/>
  <c r="M415" i="1"/>
  <c r="R415" i="1"/>
  <c r="M416" i="1"/>
  <c r="R416" i="1"/>
  <c r="M417" i="1"/>
  <c r="R417" i="1"/>
  <c r="AF22" i="2"/>
  <c r="M418" i="1"/>
  <c r="AF112" i="2"/>
  <c r="AF98" i="2"/>
  <c r="G419" i="1"/>
  <c r="AF23" i="2"/>
  <c r="M419" i="1"/>
  <c r="AF24" i="2"/>
  <c r="M420" i="1"/>
  <c r="AG15" i="2"/>
  <c r="M423" i="1"/>
  <c r="R423" i="1"/>
  <c r="AG16" i="2"/>
  <c r="M424" i="1"/>
  <c r="R424" i="1"/>
  <c r="L162" i="2"/>
  <c r="AG105" i="2"/>
  <c r="AG17" i="2"/>
  <c r="M425" i="1"/>
  <c r="R425" i="1"/>
  <c r="AG18" i="2"/>
  <c r="M426" i="1"/>
  <c r="R426" i="1"/>
  <c r="AG19" i="2"/>
  <c r="M427" i="1"/>
  <c r="R427" i="1"/>
  <c r="AG20" i="2"/>
  <c r="M428" i="1"/>
  <c r="R428" i="1"/>
  <c r="AG109" i="2"/>
  <c r="AG57" i="2"/>
  <c r="K429" i="1"/>
  <c r="M429" i="1"/>
  <c r="R429" i="1"/>
  <c r="M430" i="1"/>
  <c r="R430" i="1"/>
  <c r="M431" i="1"/>
  <c r="R431" i="1"/>
  <c r="AG22" i="2"/>
  <c r="M432" i="1"/>
  <c r="R432" i="1"/>
  <c r="G433" i="1"/>
  <c r="AG23" i="2"/>
  <c r="M433" i="1"/>
  <c r="AG24" i="2"/>
  <c r="M434" i="1"/>
  <c r="AH15" i="2"/>
  <c r="M437" i="1"/>
  <c r="R437" i="1"/>
  <c r="AH16" i="2"/>
  <c r="M438" i="1"/>
  <c r="R438" i="1"/>
  <c r="L163" i="2"/>
  <c r="AH105" i="2"/>
  <c r="AH17" i="2"/>
  <c r="M439" i="1"/>
  <c r="R439" i="1"/>
  <c r="AH18" i="2"/>
  <c r="M440" i="1"/>
  <c r="R440" i="1"/>
  <c r="AH19" i="2"/>
  <c r="M441" i="1"/>
  <c r="R441" i="1"/>
  <c r="AH20" i="2"/>
  <c r="M442" i="1"/>
  <c r="R442" i="1"/>
  <c r="AH109" i="2"/>
  <c r="AH57" i="2"/>
  <c r="K443" i="1"/>
  <c r="M443" i="1"/>
  <c r="R443" i="1"/>
  <c r="M444" i="1"/>
  <c r="R444" i="1"/>
  <c r="M445" i="1"/>
  <c r="R445" i="1"/>
  <c r="AH22" i="2"/>
  <c r="M446" i="1"/>
  <c r="R446" i="1"/>
  <c r="G447" i="1"/>
  <c r="AH23" i="2"/>
  <c r="M447" i="1"/>
  <c r="AH24" i="2"/>
  <c r="M448" i="1"/>
  <c r="AI15" i="2"/>
  <c r="M451" i="1"/>
  <c r="R451" i="1"/>
  <c r="AI16" i="2"/>
  <c r="M452" i="1"/>
  <c r="R452" i="1"/>
  <c r="L165" i="2"/>
  <c r="AI105" i="2"/>
  <c r="AI17" i="2"/>
  <c r="M453" i="1"/>
  <c r="R453" i="1"/>
  <c r="AI18" i="2"/>
  <c r="M454" i="1"/>
  <c r="R454" i="1"/>
  <c r="AI19" i="2"/>
  <c r="M455" i="1"/>
  <c r="R455" i="1"/>
  <c r="AI20" i="2"/>
  <c r="M456" i="1"/>
  <c r="R456" i="1"/>
  <c r="AI109" i="2"/>
  <c r="AI57" i="2"/>
  <c r="K457" i="1"/>
  <c r="M457" i="1"/>
  <c r="R457" i="1"/>
  <c r="R458" i="1"/>
  <c r="M459" i="1"/>
  <c r="R459" i="1"/>
  <c r="AI22" i="2"/>
  <c r="M460" i="1"/>
  <c r="R460" i="1"/>
  <c r="G461" i="1"/>
  <c r="AI23" i="2"/>
  <c r="M461" i="1"/>
  <c r="AI24" i="2"/>
  <c r="M462" i="1"/>
  <c r="AJ15" i="2"/>
  <c r="M465" i="1"/>
  <c r="R465" i="1"/>
  <c r="AJ16" i="2"/>
  <c r="M466" i="1"/>
  <c r="AM64" i="2"/>
  <c r="AJ64" i="2"/>
  <c r="R466" i="1"/>
  <c r="L166" i="2"/>
  <c r="AJ105" i="2"/>
  <c r="AJ17" i="2"/>
  <c r="M467" i="1"/>
  <c r="AM65" i="2"/>
  <c r="AJ65" i="2"/>
  <c r="R467" i="1"/>
  <c r="AJ18" i="2"/>
  <c r="M468" i="1"/>
  <c r="AM66" i="2"/>
  <c r="AJ66" i="2"/>
  <c r="R468" i="1"/>
  <c r="AJ19" i="2"/>
  <c r="M469" i="1"/>
  <c r="AM67" i="2"/>
  <c r="AJ67" i="2"/>
  <c r="R469" i="1"/>
  <c r="AJ20" i="2"/>
  <c r="M470" i="1"/>
  <c r="AM68" i="2"/>
  <c r="AJ68" i="2"/>
  <c r="R470" i="1"/>
  <c r="AJ109" i="2"/>
  <c r="AJ57" i="2"/>
  <c r="K471" i="1"/>
  <c r="M471" i="1"/>
  <c r="R471" i="1"/>
  <c r="R472" i="1"/>
  <c r="M473" i="1"/>
  <c r="R473" i="1"/>
  <c r="AJ22" i="2"/>
  <c r="M474" i="1"/>
  <c r="R474" i="1"/>
  <c r="G475" i="1"/>
  <c r="AJ23" i="2"/>
  <c r="M475" i="1"/>
  <c r="AJ24" i="2"/>
  <c r="M476" i="1"/>
  <c r="AK15" i="2"/>
  <c r="M479" i="1"/>
  <c r="R479" i="1"/>
  <c r="AK16" i="2"/>
  <c r="M480" i="1"/>
  <c r="R480" i="1"/>
  <c r="L167" i="2"/>
  <c r="AK105" i="2"/>
  <c r="AK17" i="2"/>
  <c r="M481" i="1"/>
  <c r="R481" i="1"/>
  <c r="AK18" i="2"/>
  <c r="M482" i="1"/>
  <c r="R482" i="1"/>
  <c r="AK19" i="2"/>
  <c r="M483" i="1"/>
  <c r="R483" i="1"/>
  <c r="AK20" i="2"/>
  <c r="M484" i="1"/>
  <c r="R484" i="1"/>
  <c r="AK109" i="2"/>
  <c r="AK57" i="2"/>
  <c r="K485" i="1"/>
  <c r="M485" i="1"/>
  <c r="R485" i="1"/>
  <c r="M486" i="1"/>
  <c r="R486" i="1"/>
  <c r="M487" i="1"/>
  <c r="R487" i="1"/>
  <c r="AK22" i="2"/>
  <c r="M488" i="1"/>
  <c r="R488" i="1"/>
  <c r="G489" i="1"/>
  <c r="AK23" i="2"/>
  <c r="M489" i="1"/>
  <c r="AK24" i="2"/>
  <c r="M490" i="1"/>
  <c r="AL15" i="2"/>
  <c r="M493" i="1"/>
  <c r="R493" i="1"/>
  <c r="AL16" i="2"/>
  <c r="M494" i="1"/>
  <c r="R494" i="1"/>
  <c r="L168" i="2"/>
  <c r="AL105" i="2"/>
  <c r="AL17" i="2"/>
  <c r="M495" i="1"/>
  <c r="R495" i="1"/>
  <c r="AL18" i="2"/>
  <c r="M496" i="1"/>
  <c r="R496" i="1"/>
  <c r="AL19" i="2"/>
  <c r="M497" i="1"/>
  <c r="R497" i="1"/>
  <c r="AL20" i="2"/>
  <c r="M498" i="1"/>
  <c r="R498" i="1"/>
  <c r="AL109" i="2"/>
  <c r="AL57" i="2"/>
  <c r="K499" i="1"/>
  <c r="M499" i="1"/>
  <c r="R499" i="1"/>
  <c r="M500" i="1"/>
  <c r="R500" i="1"/>
  <c r="M501" i="1"/>
  <c r="R501" i="1"/>
  <c r="AL22" i="2"/>
  <c r="M502" i="1"/>
  <c r="R502" i="1"/>
  <c r="G503" i="1"/>
  <c r="AL23" i="2"/>
  <c r="M503" i="1"/>
  <c r="AL24" i="2"/>
  <c r="M504" i="1"/>
  <c r="X507" i="1"/>
  <c r="AM15" i="2"/>
  <c r="M507" i="1"/>
  <c r="R507" i="1"/>
  <c r="X508" i="1"/>
  <c r="AM16" i="2"/>
  <c r="M508" i="1"/>
  <c r="R508" i="1"/>
  <c r="L169" i="2"/>
  <c r="AM105" i="2"/>
  <c r="X509" i="1"/>
  <c r="AM17" i="2"/>
  <c r="M509" i="1"/>
  <c r="R509" i="1"/>
  <c r="K510" i="1"/>
  <c r="AM6" i="2" s="1"/>
  <c r="X510" i="1"/>
  <c r="AM18" i="2"/>
  <c r="M510" i="1"/>
  <c r="R510" i="1"/>
  <c r="X511" i="1"/>
  <c r="AM19" i="2"/>
  <c r="M511" i="1"/>
  <c r="R511" i="1"/>
  <c r="X512" i="1"/>
  <c r="AM20" i="2"/>
  <c r="M512" i="1"/>
  <c r="R512" i="1"/>
  <c r="AM109" i="2"/>
  <c r="AM57" i="2"/>
  <c r="K513" i="1"/>
  <c r="X513" i="1"/>
  <c r="M513" i="1"/>
  <c r="R513" i="1"/>
  <c r="X514" i="1"/>
  <c r="M514" i="1"/>
  <c r="R514" i="1"/>
  <c r="X515" i="1"/>
  <c r="M515" i="1"/>
  <c r="R515" i="1"/>
  <c r="X516" i="1"/>
  <c r="AM22" i="2"/>
  <c r="M516" i="1"/>
  <c r="R516" i="1"/>
  <c r="X517" i="1"/>
  <c r="AM23" i="2"/>
  <c r="M517" i="1"/>
  <c r="X518" i="1"/>
  <c r="AM24" i="2"/>
  <c r="M518" i="1"/>
  <c r="AN15" i="2"/>
  <c r="M521" i="1"/>
  <c r="R521" i="1"/>
  <c r="AN16" i="2"/>
  <c r="M522" i="1"/>
  <c r="R522" i="1"/>
  <c r="L170" i="2"/>
  <c r="AN105" i="2"/>
  <c r="AN17" i="2"/>
  <c r="M523" i="1"/>
  <c r="R523" i="1"/>
  <c r="AN18" i="2"/>
  <c r="M524" i="1"/>
  <c r="R524" i="1"/>
  <c r="AN19" i="2"/>
  <c r="M525" i="1"/>
  <c r="R525" i="1"/>
  <c r="AN20" i="2"/>
  <c r="M526" i="1"/>
  <c r="R526" i="1"/>
  <c r="AN109" i="2"/>
  <c r="AN57" i="2"/>
  <c r="K527" i="1"/>
  <c r="M527" i="1"/>
  <c r="R527" i="1"/>
  <c r="M528" i="1"/>
  <c r="R528" i="1"/>
  <c r="R529" i="1"/>
  <c r="AN22" i="2"/>
  <c r="M530" i="1"/>
  <c r="R530" i="1"/>
  <c r="G531" i="1"/>
  <c r="AN23" i="2"/>
  <c r="M531" i="1"/>
  <c r="R532" i="1"/>
  <c r="M532" i="1"/>
  <c r="AN24" i="2"/>
  <c r="M535" i="1"/>
  <c r="R535" i="1"/>
  <c r="M536" i="1"/>
  <c r="R536" i="1"/>
  <c r="L172" i="2"/>
  <c r="AO105" i="2"/>
  <c r="M537" i="1"/>
  <c r="R537" i="1"/>
  <c r="M538" i="1"/>
  <c r="R538" i="1"/>
  <c r="M539" i="1"/>
  <c r="R539" i="1"/>
  <c r="M540" i="1"/>
  <c r="R540" i="1"/>
  <c r="K541" i="1"/>
  <c r="M541" i="1"/>
  <c r="R541" i="1"/>
  <c r="M542" i="1"/>
  <c r="R542" i="1"/>
  <c r="R543" i="1"/>
  <c r="M544" i="1"/>
  <c r="R544" i="1"/>
  <c r="G545" i="1"/>
  <c r="M545" i="1"/>
  <c r="M546" i="1"/>
  <c r="M549" i="1"/>
  <c r="R549" i="1"/>
  <c r="M550" i="1"/>
  <c r="R550" i="1"/>
  <c r="L173" i="2"/>
  <c r="AP105" i="2"/>
  <c r="M551" i="1"/>
  <c r="R551" i="1"/>
  <c r="M552" i="1"/>
  <c r="R552" i="1"/>
  <c r="M553" i="1"/>
  <c r="R553" i="1"/>
  <c r="M554" i="1"/>
  <c r="R554" i="1"/>
  <c r="K555" i="1"/>
  <c r="M555" i="1"/>
  <c r="R555" i="1"/>
  <c r="M556" i="1"/>
  <c r="R556" i="1"/>
  <c r="R557" i="1"/>
  <c r="M558" i="1"/>
  <c r="R558" i="1"/>
  <c r="G559" i="1"/>
  <c r="M559" i="1"/>
  <c r="M560" i="1"/>
  <c r="M563" i="1"/>
  <c r="R563" i="1"/>
  <c r="M564" i="1"/>
  <c r="R564" i="1"/>
  <c r="L174" i="2"/>
  <c r="AQ105" i="2"/>
  <c r="M565" i="1"/>
  <c r="R565" i="1"/>
  <c r="M566" i="1"/>
  <c r="R566" i="1"/>
  <c r="M567" i="1"/>
  <c r="R567" i="1"/>
  <c r="M568" i="1"/>
  <c r="R568" i="1"/>
  <c r="K569" i="1"/>
  <c r="M569" i="1"/>
  <c r="R569" i="1"/>
  <c r="M570" i="1"/>
  <c r="R570" i="1"/>
  <c r="R571" i="1"/>
  <c r="M572" i="1"/>
  <c r="R572" i="1"/>
  <c r="G573" i="1"/>
  <c r="M573" i="1"/>
  <c r="M574" i="1"/>
  <c r="M577" i="1"/>
  <c r="R577" i="1"/>
  <c r="H578" i="1"/>
  <c r="L578" i="1"/>
  <c r="P578" i="1"/>
  <c r="AR64" i="2" s="1"/>
  <c r="Q578" i="1"/>
  <c r="AR52" i="2" s="1"/>
  <c r="S578" i="1"/>
  <c r="AR76" i="2" s="1"/>
  <c r="W578" i="1"/>
  <c r="L175" i="2"/>
  <c r="AR105" i="2"/>
  <c r="M579" i="1"/>
  <c r="R579" i="1"/>
  <c r="M580" i="1"/>
  <c r="R580" i="1"/>
  <c r="M581" i="1"/>
  <c r="R581" i="1"/>
  <c r="M582" i="1"/>
  <c r="R582" i="1"/>
  <c r="K583" i="1"/>
  <c r="M583" i="1"/>
  <c r="R583" i="1"/>
  <c r="M584" i="1"/>
  <c r="R584" i="1"/>
  <c r="R585" i="1"/>
  <c r="M586" i="1"/>
  <c r="R586" i="1"/>
  <c r="G587" i="1"/>
  <c r="H587" i="1"/>
  <c r="L587" i="1"/>
  <c r="P587" i="1"/>
  <c r="AR71" i="2" s="1"/>
  <c r="Q587" i="1"/>
  <c r="AR59" i="2" s="1"/>
  <c r="S587" i="1"/>
  <c r="AR85" i="2" s="1"/>
  <c r="W587" i="1"/>
  <c r="M588" i="1"/>
  <c r="M591" i="1"/>
  <c r="R591" i="1"/>
  <c r="M592" i="1"/>
  <c r="R592" i="1"/>
  <c r="L176" i="2"/>
  <c r="AS105" i="2"/>
  <c r="M593" i="1"/>
  <c r="R593" i="1"/>
  <c r="H594" i="1"/>
  <c r="N594" i="1"/>
  <c r="AS42" i="2" s="1"/>
  <c r="O594" i="1"/>
  <c r="AS30" i="2" s="1"/>
  <c r="P594" i="1"/>
  <c r="AS66" i="2" s="1"/>
  <c r="Q594" i="1"/>
  <c r="AS54" i="2" s="1"/>
  <c r="T594" i="1"/>
  <c r="AS92" i="2" s="1"/>
  <c r="W594" i="1"/>
  <c r="M595" i="1"/>
  <c r="R595" i="1"/>
  <c r="M596" i="1"/>
  <c r="R596" i="1"/>
  <c r="K597" i="1"/>
  <c r="M597" i="1"/>
  <c r="R597" i="1"/>
  <c r="M598" i="1"/>
  <c r="R598" i="1"/>
  <c r="R599" i="1"/>
  <c r="M600" i="1"/>
  <c r="R600" i="1"/>
  <c r="G601" i="1"/>
  <c r="M601" i="1"/>
  <c r="M602" i="1"/>
  <c r="M605" i="1"/>
  <c r="R605" i="1"/>
  <c r="M606" i="1"/>
  <c r="R606" i="1"/>
  <c r="L177" i="2"/>
  <c r="AT105" i="2"/>
  <c r="M607" i="1"/>
  <c r="R607" i="1"/>
  <c r="M608" i="1"/>
  <c r="R608" i="1"/>
  <c r="T608" i="1"/>
  <c r="AT92" i="2" s="1"/>
  <c r="M609" i="1"/>
  <c r="R609" i="1"/>
  <c r="M610" i="1"/>
  <c r="R610" i="1"/>
  <c r="K611" i="1"/>
  <c r="M611" i="1"/>
  <c r="R611" i="1"/>
  <c r="M612" i="1"/>
  <c r="R612" i="1"/>
  <c r="R613" i="1"/>
  <c r="M614" i="1"/>
  <c r="R614" i="1"/>
  <c r="G615" i="1"/>
  <c r="M615" i="1"/>
  <c r="M616" i="1"/>
  <c r="M619" i="1"/>
  <c r="R619" i="1"/>
  <c r="M620" i="1"/>
  <c r="R620" i="1"/>
  <c r="L179" i="2"/>
  <c r="AU105" i="2"/>
  <c r="M621" i="1"/>
  <c r="R621" i="1"/>
  <c r="M622" i="1"/>
  <c r="R622" i="1"/>
  <c r="M623" i="1"/>
  <c r="R623" i="1"/>
  <c r="M624" i="1"/>
  <c r="R624" i="1"/>
  <c r="K625" i="1"/>
  <c r="M625" i="1"/>
  <c r="R625" i="1"/>
  <c r="R626" i="1"/>
  <c r="R627" i="1"/>
  <c r="M628" i="1"/>
  <c r="R628" i="1"/>
  <c r="G629" i="1"/>
  <c r="M629" i="1"/>
  <c r="M630" i="1"/>
  <c r="M633" i="1"/>
  <c r="R633" i="1"/>
  <c r="W633" i="1"/>
  <c r="M634" i="1"/>
  <c r="R634" i="1"/>
  <c r="W634" i="1"/>
  <c r="L180" i="2"/>
  <c r="AV105" i="2"/>
  <c r="M635" i="1"/>
  <c r="R635" i="1"/>
  <c r="W635" i="1"/>
  <c r="M636" i="1"/>
  <c r="R636" i="1"/>
  <c r="W636" i="1"/>
  <c r="M637" i="1"/>
  <c r="R637" i="1"/>
  <c r="W637" i="1"/>
  <c r="M638" i="1"/>
  <c r="R638" i="1"/>
  <c r="W638" i="1"/>
  <c r="K639" i="1"/>
  <c r="M639" i="1"/>
  <c r="R639" i="1"/>
  <c r="W639" i="1"/>
  <c r="R640" i="1"/>
  <c r="W640" i="1"/>
  <c r="R641" i="1"/>
  <c r="W641" i="1"/>
  <c r="M642" i="1"/>
  <c r="R642" i="1"/>
  <c r="W642" i="1"/>
  <c r="G643" i="1"/>
  <c r="M643" i="1"/>
  <c r="W643" i="1"/>
  <c r="M644" i="1"/>
  <c r="W644" i="1"/>
  <c r="M647" i="1"/>
  <c r="R647" i="1"/>
  <c r="W647" i="1"/>
  <c r="M648" i="1"/>
  <c r="R648" i="1"/>
  <c r="W648" i="1"/>
  <c r="L181" i="2"/>
  <c r="AW105" i="2"/>
  <c r="M649" i="1"/>
  <c r="R649" i="1"/>
  <c r="W649" i="1"/>
  <c r="M650" i="1"/>
  <c r="R650" i="1"/>
  <c r="W650" i="1"/>
  <c r="M651" i="1"/>
  <c r="R651" i="1"/>
  <c r="W651" i="1"/>
  <c r="K653" i="1"/>
  <c r="M653" i="1"/>
  <c r="R653" i="1"/>
  <c r="W653" i="1"/>
  <c r="R654" i="1"/>
  <c r="W654" i="1"/>
  <c r="R655" i="1"/>
  <c r="W655" i="1"/>
  <c r="M656" i="1"/>
  <c r="R656" i="1"/>
  <c r="W656" i="1"/>
  <c r="G657" i="1"/>
  <c r="M657" i="1"/>
  <c r="W657" i="1"/>
  <c r="M658" i="1"/>
  <c r="W658" i="1"/>
  <c r="M675" i="1"/>
  <c r="AX103" i="2"/>
  <c r="W661" i="1"/>
  <c r="AX15" i="2"/>
  <c r="W665" i="1"/>
  <c r="M681" i="1"/>
  <c r="AX109" i="2"/>
  <c r="AX57" i="2"/>
  <c r="M682" i="1"/>
  <c r="AX110" i="2"/>
  <c r="R669" i="1"/>
  <c r="M684" i="1"/>
  <c r="AX112" i="2"/>
  <c r="W670" i="1"/>
  <c r="G182" i="2"/>
  <c r="M689" i="1"/>
  <c r="AY103" i="2"/>
  <c r="W675" i="1"/>
  <c r="AY15" i="2"/>
  <c r="M690" i="1"/>
  <c r="AY104" i="2"/>
  <c r="W676" i="1"/>
  <c r="AY16" i="2"/>
  <c r="M693" i="1"/>
  <c r="AY107" i="2"/>
  <c r="W679" i="1"/>
  <c r="AY19" i="2"/>
  <c r="M695" i="1"/>
  <c r="AY109" i="2"/>
  <c r="AY57" i="2"/>
  <c r="M696" i="1"/>
  <c r="AY110" i="2"/>
  <c r="R683" i="1"/>
  <c r="M698" i="1"/>
  <c r="AY112" i="2"/>
  <c r="W684" i="1"/>
  <c r="AO15" i="2"/>
  <c r="AP15" i="2"/>
  <c r="AQ15" i="2"/>
  <c r="AR15" i="2"/>
  <c r="AS15" i="2"/>
  <c r="AT15" i="2"/>
  <c r="AU15" i="2"/>
  <c r="AO16" i="2"/>
  <c r="AP16" i="2"/>
  <c r="AQ16" i="2"/>
  <c r="AS16" i="2"/>
  <c r="AT16" i="2"/>
  <c r="AU16" i="2"/>
  <c r="AO17" i="2"/>
  <c r="AP17" i="2"/>
  <c r="AQ17" i="2"/>
  <c r="AR17" i="2"/>
  <c r="AS17" i="2"/>
  <c r="AT17" i="2"/>
  <c r="AU17" i="2"/>
  <c r="AO18" i="2"/>
  <c r="AP18" i="2"/>
  <c r="AQ18" i="2"/>
  <c r="AR18" i="2"/>
  <c r="AS18" i="2"/>
  <c r="AT18" i="2"/>
  <c r="AU18" i="2"/>
  <c r="AO19" i="2"/>
  <c r="AP19" i="2"/>
  <c r="AQ19" i="2"/>
  <c r="AR19" i="2"/>
  <c r="AS19" i="2"/>
  <c r="AT19" i="2"/>
  <c r="AU19" i="2"/>
  <c r="AO20" i="2"/>
  <c r="AP20" i="2"/>
  <c r="AQ20" i="2"/>
  <c r="AR20" i="2"/>
  <c r="AS20" i="2"/>
  <c r="AT20" i="2"/>
  <c r="AU20" i="2"/>
  <c r="AO22" i="2"/>
  <c r="AP22" i="2"/>
  <c r="AQ22" i="2"/>
  <c r="AR22" i="2"/>
  <c r="AS22" i="2"/>
  <c r="AT22" i="2"/>
  <c r="AU22" i="2"/>
  <c r="AO23" i="2"/>
  <c r="AP23" i="2"/>
  <c r="AQ23" i="2"/>
  <c r="AS23" i="2"/>
  <c r="AT23" i="2"/>
  <c r="AU23" i="2"/>
  <c r="AO24" i="2"/>
  <c r="AP24" i="2"/>
  <c r="AQ24" i="2"/>
  <c r="AR24" i="2"/>
  <c r="AS24" i="2"/>
  <c r="AT24" i="2"/>
  <c r="AU24" i="2"/>
  <c r="AT46" i="2"/>
  <c r="AT47" i="2"/>
  <c r="AT48" i="2"/>
  <c r="AO57" i="2"/>
  <c r="AP57" i="2"/>
  <c r="AQ57" i="2"/>
  <c r="AR57" i="2"/>
  <c r="AS57" i="2"/>
  <c r="AT57" i="2"/>
  <c r="AU57" i="2"/>
  <c r="AV57" i="2"/>
  <c r="AW57" i="2"/>
  <c r="B91" i="2"/>
  <c r="B98" i="2"/>
  <c r="B99" i="2"/>
  <c r="B100" i="2"/>
  <c r="B89" i="2"/>
  <c r="B90" i="2"/>
  <c r="B92" i="2"/>
  <c r="B93" i="2"/>
  <c r="B94" i="2"/>
  <c r="B109" i="2"/>
  <c r="B110" i="2"/>
  <c r="B111" i="2"/>
  <c r="M128" i="2"/>
  <c r="C129" i="2"/>
  <c r="I129" i="2"/>
  <c r="M131" i="2"/>
  <c r="M132" i="2"/>
  <c r="M133" i="2"/>
  <c r="M134" i="2"/>
  <c r="G135" i="2"/>
  <c r="M135" i="2"/>
  <c r="C136" i="2"/>
  <c r="G136" i="2" s="1"/>
  <c r="I136" i="2"/>
  <c r="G137" i="2"/>
  <c r="G138" i="2"/>
  <c r="M138" i="2"/>
  <c r="G139" i="2"/>
  <c r="M139" i="2"/>
  <c r="G140" i="2"/>
  <c r="M140" i="2"/>
  <c r="G141" i="2"/>
  <c r="M141" i="2"/>
  <c r="G142" i="2"/>
  <c r="M142" i="2"/>
  <c r="C143" i="2"/>
  <c r="G143" i="2" s="1"/>
  <c r="I143" i="2"/>
  <c r="G144" i="2"/>
  <c r="G145" i="2"/>
  <c r="M145" i="2"/>
  <c r="G146" i="2"/>
  <c r="M146" i="2"/>
  <c r="G147" i="2"/>
  <c r="M147" i="2"/>
  <c r="G148" i="2"/>
  <c r="M148" i="2"/>
  <c r="G149" i="2"/>
  <c r="M149" i="2"/>
  <c r="C150" i="2"/>
  <c r="G150" i="2" s="1"/>
  <c r="I150" i="2"/>
  <c r="G151" i="2"/>
  <c r="G152" i="2"/>
  <c r="M152" i="2"/>
  <c r="G153" i="2"/>
  <c r="M153" i="2"/>
  <c r="G154" i="2"/>
  <c r="M154" i="2"/>
  <c r="G155" i="2"/>
  <c r="M155" i="2"/>
  <c r="G156" i="2"/>
  <c r="M156" i="2"/>
  <c r="C157" i="2"/>
  <c r="G157" i="2" s="1"/>
  <c r="I157" i="2"/>
  <c r="G158" i="2"/>
  <c r="G159" i="2"/>
  <c r="M159" i="2"/>
  <c r="G160" i="2"/>
  <c r="M160" i="2"/>
  <c r="G161" i="2"/>
  <c r="M161" i="2"/>
  <c r="G162" i="2"/>
  <c r="M162" i="2"/>
  <c r="G163" i="2"/>
  <c r="M163" i="2"/>
  <c r="C164" i="2"/>
  <c r="G164" i="2" s="1"/>
  <c r="I164" i="2"/>
  <c r="G165" i="2"/>
  <c r="G166" i="2"/>
  <c r="M166" i="2"/>
  <c r="G167" i="2"/>
  <c r="M167" i="2"/>
  <c r="G168" i="2"/>
  <c r="M168" i="2"/>
  <c r="G169" i="2"/>
  <c r="M169" i="2"/>
  <c r="G170" i="2"/>
  <c r="M170" i="2"/>
  <c r="C171" i="2"/>
  <c r="G171" i="2" s="1"/>
  <c r="I171" i="2"/>
  <c r="G172" i="2"/>
  <c r="G173" i="2"/>
  <c r="M173" i="2"/>
  <c r="G174" i="2"/>
  <c r="M174" i="2"/>
  <c r="M175" i="2"/>
  <c r="M176" i="2"/>
  <c r="G177" i="2"/>
  <c r="M177" i="2"/>
  <c r="C178" i="2"/>
  <c r="G178" i="2" s="1"/>
  <c r="I178" i="2"/>
  <c r="G179" i="2"/>
  <c r="G180" i="2"/>
  <c r="M180" i="2"/>
  <c r="G181" i="2"/>
  <c r="M181" i="2"/>
  <c r="G185" i="2"/>
  <c r="I185" i="2"/>
  <c r="AY105" i="2"/>
  <c r="L183" i="2"/>
  <c r="Z689" i="1"/>
  <c r="AZ39" i="2"/>
  <c r="AA689" i="1"/>
  <c r="AZ63" i="2"/>
  <c r="Z690" i="1"/>
  <c r="AZ40" i="2"/>
  <c r="AA690" i="1"/>
  <c r="AZ64" i="2"/>
  <c r="Z691" i="1"/>
  <c r="AZ41" i="2"/>
  <c r="AA691" i="1"/>
  <c r="AZ65" i="2"/>
  <c r="Z692" i="1"/>
  <c r="AZ42" i="2"/>
  <c r="AA692" i="1"/>
  <c r="AZ66" i="2"/>
  <c r="Z693" i="1"/>
  <c r="AZ43" i="2"/>
  <c r="AA693" i="1"/>
  <c r="AZ67" i="2"/>
  <c r="Z694" i="1"/>
  <c r="AZ44" i="2"/>
  <c r="AA694" i="1"/>
  <c r="AZ68" i="2"/>
  <c r="AA695" i="1"/>
  <c r="AZ69" i="2"/>
  <c r="Z698" i="1"/>
  <c r="AZ46" i="2"/>
  <c r="AA698" i="1"/>
  <c r="AZ70" i="2"/>
  <c r="W699" i="1"/>
  <c r="AZ23" i="2"/>
  <c r="Z699" i="1"/>
  <c r="AZ47" i="2"/>
  <c r="AA699" i="1"/>
  <c r="AZ71" i="2"/>
  <c r="W700" i="1"/>
  <c r="AZ24" i="2"/>
  <c r="Z700" i="1"/>
  <c r="AZ48" i="2"/>
  <c r="AA700" i="1"/>
  <c r="AZ72" i="2"/>
  <c r="G183" i="2"/>
  <c r="G184" i="2"/>
  <c r="R678" i="1"/>
  <c r="W678" i="1"/>
  <c r="M692" i="1"/>
  <c r="R677" i="1"/>
  <c r="W677" i="1"/>
  <c r="M691" i="1"/>
  <c r="R680" i="1"/>
  <c r="W680" i="1"/>
  <c r="M694" i="1"/>
  <c r="W685" i="1"/>
  <c r="M699" i="1"/>
  <c r="R686" i="1"/>
  <c r="W686" i="1"/>
  <c r="R679" i="1"/>
  <c r="R675" i="1"/>
  <c r="R676" i="1"/>
  <c r="R682" i="1"/>
  <c r="K681" i="1"/>
  <c r="R681" i="1"/>
  <c r="K685" i="1"/>
  <c r="AY11" i="2" s="1"/>
  <c r="R685" i="1"/>
  <c r="R684" i="1"/>
  <c r="L182" i="2"/>
  <c r="M182" i="2" s="1"/>
  <c r="AX105" i="2"/>
  <c r="M664" i="1"/>
  <c r="R664" i="1"/>
  <c r="W664" i="1"/>
  <c r="M678" i="1"/>
  <c r="M679" i="1"/>
  <c r="AX107" i="2"/>
  <c r="M680" i="1"/>
  <c r="AX108" i="2"/>
  <c r="W666" i="1"/>
  <c r="AX20" i="2"/>
  <c r="M652" i="1"/>
  <c r="R652" i="1"/>
  <c r="W652" i="1"/>
  <c r="M672" i="1"/>
  <c r="R672" i="1"/>
  <c r="W672" i="1"/>
  <c r="W689" i="1"/>
  <c r="W690" i="1"/>
  <c r="W691" i="1"/>
  <c r="W692" i="1"/>
  <c r="W693" i="1"/>
  <c r="W694" i="1"/>
  <c r="W695" i="1"/>
  <c r="W696" i="1"/>
  <c r="W697" i="1"/>
  <c r="W698" i="1"/>
  <c r="K699" i="1"/>
  <c r="AZ11" i="2" s="1"/>
  <c r="R699" i="1"/>
  <c r="M676" i="1"/>
  <c r="AX104" i="2"/>
  <c r="W662" i="1"/>
  <c r="AX16" i="2"/>
  <c r="M666" i="1"/>
  <c r="R666" i="1"/>
  <c r="M665" i="1"/>
  <c r="R665" i="1"/>
  <c r="M661" i="1"/>
  <c r="R661" i="1"/>
  <c r="M662" i="1"/>
  <c r="R662" i="1"/>
  <c r="R668" i="1"/>
  <c r="K667" i="1"/>
  <c r="K671" i="1"/>
  <c r="AX11" i="2" s="1"/>
  <c r="X671" i="1"/>
  <c r="M670" i="1"/>
  <c r="R670" i="1"/>
  <c r="M663" i="1"/>
  <c r="R663" i="1"/>
  <c r="W663" i="1"/>
  <c r="M677" i="1"/>
  <c r="M671" i="1"/>
  <c r="R671" i="1"/>
  <c r="W671" i="1"/>
  <c r="M685" i="1"/>
  <c r="M667" i="1"/>
  <c r="R667" i="1"/>
  <c r="E181" i="2" l="1"/>
  <c r="R657" i="1"/>
  <c r="K657" i="1"/>
  <c r="E180" i="2"/>
  <c r="R643" i="1"/>
  <c r="K643" i="1"/>
  <c r="E179" i="2"/>
  <c r="R629" i="1"/>
  <c r="K629" i="1"/>
  <c r="E177" i="2"/>
  <c r="E178" i="2" s="1"/>
  <c r="R615" i="1"/>
  <c r="K615" i="1"/>
  <c r="L178" i="2"/>
  <c r="M179" i="2" s="1"/>
  <c r="E176" i="2"/>
  <c r="R601" i="1"/>
  <c r="K601" i="1"/>
  <c r="AS106" i="2"/>
  <c r="R594" i="1"/>
  <c r="M594" i="1"/>
  <c r="AR23" i="2"/>
  <c r="F175" i="2"/>
  <c r="M587" i="1"/>
  <c r="E175" i="2"/>
  <c r="R587" i="1"/>
  <c r="K587" i="1"/>
  <c r="X578" i="1"/>
  <c r="AR16" i="2"/>
  <c r="AR104" i="2"/>
  <c r="R578" i="1"/>
  <c r="M578" i="1"/>
  <c r="E174" i="2"/>
  <c r="R573" i="1"/>
  <c r="K573" i="1"/>
  <c r="E173" i="2"/>
  <c r="R559" i="1"/>
  <c r="K559" i="1"/>
  <c r="E172" i="2"/>
  <c r="R545" i="1"/>
  <c r="K545" i="1"/>
  <c r="E170" i="2"/>
  <c r="E171" i="2" s="1"/>
  <c r="R531" i="1"/>
  <c r="K531" i="1"/>
  <c r="L171" i="2"/>
  <c r="M172" i="2" s="1"/>
  <c r="E168" i="2"/>
  <c r="R503" i="1"/>
  <c r="K503" i="1"/>
  <c r="E167" i="2"/>
  <c r="R489" i="1"/>
  <c r="K489" i="1"/>
  <c r="E166" i="2"/>
  <c r="R475" i="1"/>
  <c r="K475" i="1"/>
  <c r="E165" i="2"/>
  <c r="R461" i="1"/>
  <c r="K461" i="1"/>
  <c r="E163" i="2"/>
  <c r="E164" i="2" s="1"/>
  <c r="R447" i="1"/>
  <c r="K447" i="1"/>
  <c r="L164" i="2"/>
  <c r="M165" i="2" s="1"/>
  <c r="E162" i="2"/>
  <c r="R433" i="1"/>
  <c r="K433" i="1"/>
  <c r="E161" i="2"/>
  <c r="R419" i="1"/>
  <c r="K419" i="1"/>
  <c r="E160" i="2"/>
  <c r="R405" i="1"/>
  <c r="K405" i="1"/>
  <c r="E159" i="2"/>
  <c r="R391" i="1"/>
  <c r="K391" i="1"/>
  <c r="E158" i="2"/>
  <c r="R377" i="1"/>
  <c r="K377" i="1"/>
  <c r="AC11" i="2" s="1"/>
  <c r="E156" i="2"/>
  <c r="E157" i="2" s="1"/>
  <c r="R363" i="1"/>
  <c r="K363" i="1"/>
  <c r="L157" i="2"/>
  <c r="M158" i="2" s="1"/>
  <c r="E155" i="2"/>
  <c r="R349" i="1"/>
  <c r="K349" i="1"/>
  <c r="AA11" i="2" s="1"/>
  <c r="E154" i="2"/>
  <c r="R335" i="1"/>
  <c r="K335" i="1"/>
  <c r="E153" i="2"/>
  <c r="R321" i="1"/>
  <c r="K321" i="1"/>
  <c r="Y11" i="2" s="1"/>
  <c r="E152" i="2"/>
  <c r="R307" i="1"/>
  <c r="K307" i="1"/>
  <c r="X11" i="2" s="1"/>
  <c r="E151" i="2"/>
  <c r="R293" i="1"/>
  <c r="K293" i="1"/>
  <c r="W11" i="2" s="1"/>
  <c r="R280" i="1"/>
  <c r="M280" i="1"/>
  <c r="E149" i="2"/>
  <c r="E150" i="2" s="1"/>
  <c r="R279" i="1"/>
  <c r="K279" i="1"/>
  <c r="L150" i="2"/>
  <c r="M151" i="2" s="1"/>
  <c r="E148" i="2"/>
  <c r="R265" i="1"/>
  <c r="K265" i="1"/>
  <c r="U11" i="2" s="1"/>
  <c r="E147" i="2"/>
  <c r="R251" i="1"/>
  <c r="K251" i="1"/>
  <c r="T11" i="2" s="1"/>
  <c r="E146" i="2"/>
  <c r="R237" i="1"/>
  <c r="K237" i="1"/>
  <c r="S11" i="2" s="1"/>
  <c r="E145" i="2"/>
  <c r="R223" i="1"/>
  <c r="K223" i="1"/>
  <c r="R11" i="2" s="1"/>
  <c r="E142" i="2"/>
  <c r="E143" i="2" s="1"/>
  <c r="R195" i="1"/>
  <c r="K195" i="1"/>
  <c r="L143" i="2"/>
  <c r="M144" i="2" s="1"/>
  <c r="E141" i="2"/>
  <c r="R181" i="1"/>
  <c r="K181" i="1"/>
  <c r="O11" i="2" s="1"/>
  <c r="E140" i="2"/>
  <c r="R167" i="1"/>
  <c r="K167" i="1"/>
  <c r="N11" i="2" s="1"/>
  <c r="E139" i="2"/>
  <c r="R153" i="1"/>
  <c r="K153" i="1"/>
  <c r="M11" i="2" s="1"/>
  <c r="E138" i="2"/>
  <c r="R139" i="1"/>
  <c r="K139" i="1"/>
  <c r="L11" i="2" s="1"/>
  <c r="E137" i="2"/>
  <c r="R125" i="1"/>
  <c r="K125" i="1"/>
  <c r="K11" i="2" s="1"/>
  <c r="E135" i="2"/>
  <c r="E136" i="2" s="1"/>
  <c r="R111" i="1"/>
  <c r="K111" i="1"/>
  <c r="L136" i="2"/>
  <c r="M137" i="2" s="1"/>
  <c r="E134" i="2"/>
  <c r="R97" i="1"/>
  <c r="K97" i="1"/>
  <c r="I11" i="2" s="1"/>
  <c r="F133" i="2"/>
  <c r="M83" i="1"/>
  <c r="E133" i="2"/>
  <c r="R83" i="1"/>
  <c r="K83" i="1"/>
  <c r="H11" i="2" s="1"/>
  <c r="F132" i="2"/>
  <c r="M69" i="1"/>
  <c r="E132" i="2"/>
  <c r="R69" i="1"/>
  <c r="K69" i="1"/>
  <c r="G11" i="2" s="1"/>
  <c r="F131" i="2"/>
  <c r="M55" i="1"/>
  <c r="E131" i="2"/>
  <c r="R55" i="1"/>
  <c r="K55" i="1"/>
  <c r="F11" i="2" s="1"/>
  <c r="F130" i="2"/>
  <c r="M41" i="1"/>
  <c r="E130" i="2"/>
  <c r="R41" i="1"/>
  <c r="K41" i="1"/>
  <c r="F128" i="2"/>
  <c r="M27" i="1"/>
  <c r="L129" i="2"/>
  <c r="M130" i="2" s="1"/>
  <c r="D35" i="2"/>
  <c r="C35" i="2"/>
  <c r="R27" i="1"/>
  <c r="E129" i="2"/>
  <c r="R13" i="1"/>
  <c r="B120" i="2"/>
  <c r="B108" i="2"/>
  <c r="B119" i="2"/>
  <c r="B107" i="2"/>
  <c r="B118" i="2"/>
  <c r="B106" i="2"/>
  <c r="B116" i="2"/>
  <c r="B104" i="2"/>
  <c r="B115" i="2"/>
  <c r="B103" i="2"/>
  <c r="B124" i="2"/>
  <c r="B112" i="2"/>
  <c r="B117" i="2"/>
  <c r="B105" i="2"/>
  <c r="M183" i="2"/>
  <c r="M185" i="2"/>
  <c r="M186" i="2"/>
  <c r="M184" i="2"/>
  <c r="X686" i="1"/>
  <c r="X685" i="1"/>
  <c r="X684" i="1"/>
  <c r="X683" i="1"/>
  <c r="X682" i="1"/>
  <c r="X681" i="1"/>
  <c r="X680" i="1"/>
  <c r="X679" i="1"/>
  <c r="X678" i="1"/>
  <c r="X677" i="1"/>
  <c r="X676" i="1"/>
  <c r="X675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72" i="1"/>
  <c r="X670" i="1"/>
  <c r="X669" i="1"/>
  <c r="X668" i="1"/>
  <c r="X667" i="1"/>
  <c r="X666" i="1"/>
  <c r="X665" i="1"/>
  <c r="X664" i="1"/>
  <c r="X662" i="1"/>
  <c r="X661" i="1"/>
  <c r="X663" i="1"/>
  <c r="F129" i="2" l="1"/>
  <c r="G129" i="2" s="1"/>
  <c r="G128" i="2"/>
  <c r="E11" i="2"/>
  <c r="X31" i="1"/>
  <c r="X32" i="1"/>
  <c r="X33" i="1"/>
  <c r="X34" i="1"/>
  <c r="X35" i="1"/>
  <c r="X36" i="1"/>
  <c r="X37" i="1"/>
  <c r="X38" i="1"/>
  <c r="X39" i="1"/>
  <c r="X40" i="1"/>
  <c r="X41" i="1"/>
  <c r="X42" i="1"/>
  <c r="G130" i="2"/>
  <c r="G131" i="2"/>
  <c r="G132" i="2"/>
  <c r="G133" i="2"/>
  <c r="G134" i="2"/>
  <c r="J11" i="2"/>
  <c r="X111" i="1"/>
  <c r="P11" i="2"/>
  <c r="X185" i="1"/>
  <c r="X186" i="1"/>
  <c r="X187" i="1"/>
  <c r="X188" i="1"/>
  <c r="X189" i="1"/>
  <c r="X190" i="1"/>
  <c r="X191" i="1"/>
  <c r="X192" i="1"/>
  <c r="X193" i="1"/>
  <c r="X194" i="1"/>
  <c r="X195" i="1"/>
  <c r="X196" i="1"/>
  <c r="V11" i="2"/>
  <c r="X269" i="1"/>
  <c r="X270" i="1"/>
  <c r="X271" i="1"/>
  <c r="X272" i="1"/>
  <c r="X273" i="1"/>
  <c r="X274" i="1"/>
  <c r="X275" i="1"/>
  <c r="X276" i="1"/>
  <c r="X277" i="1"/>
  <c r="X278" i="1"/>
  <c r="X279" i="1"/>
  <c r="X280" i="1"/>
  <c r="Z11" i="2"/>
  <c r="X325" i="1"/>
  <c r="AB689" i="1" s="1"/>
  <c r="X326" i="1"/>
  <c r="AB690" i="1" s="1"/>
  <c r="X327" i="1"/>
  <c r="AB691" i="1" s="1"/>
  <c r="X328" i="1"/>
  <c r="AB692" i="1" s="1"/>
  <c r="X329" i="1"/>
  <c r="AB693" i="1" s="1"/>
  <c r="X330" i="1"/>
  <c r="AB694" i="1" s="1"/>
  <c r="X331" i="1"/>
  <c r="AB695" i="1" s="1"/>
  <c r="X332" i="1"/>
  <c r="AB696" i="1" s="1"/>
  <c r="X333" i="1"/>
  <c r="AB697" i="1" s="1"/>
  <c r="X334" i="1"/>
  <c r="AB698" i="1" s="1"/>
  <c r="X335" i="1"/>
  <c r="AB699" i="1" s="1"/>
  <c r="X336" i="1"/>
  <c r="AB700" i="1" s="1"/>
  <c r="AB11" i="2"/>
  <c r="X363" i="1"/>
  <c r="AB727" i="1" s="1"/>
  <c r="AD11" i="2"/>
  <c r="X381" i="1"/>
  <c r="AB745" i="1" s="1"/>
  <c r="X382" i="1"/>
  <c r="AB746" i="1" s="1"/>
  <c r="X383" i="1"/>
  <c r="AB747" i="1" s="1"/>
  <c r="X384" i="1"/>
  <c r="AB748" i="1" s="1"/>
  <c r="X385" i="1"/>
  <c r="AB749" i="1" s="1"/>
  <c r="X386" i="1"/>
  <c r="AB750" i="1" s="1"/>
  <c r="X387" i="1"/>
  <c r="AB751" i="1" s="1"/>
  <c r="X388" i="1"/>
  <c r="AB752" i="1" s="1"/>
  <c r="X389" i="1"/>
  <c r="AB753" i="1" s="1"/>
  <c r="X390" i="1"/>
  <c r="AB754" i="1" s="1"/>
  <c r="X391" i="1"/>
  <c r="AB755" i="1" s="1"/>
  <c r="X392" i="1"/>
  <c r="AB756" i="1" s="1"/>
  <c r="AE11" i="2"/>
  <c r="X395" i="1"/>
  <c r="AB759" i="1" s="1"/>
  <c r="X396" i="1"/>
  <c r="AB760" i="1" s="1"/>
  <c r="X397" i="1"/>
  <c r="AB761" i="1" s="1"/>
  <c r="X398" i="1"/>
  <c r="AB762" i="1" s="1"/>
  <c r="X399" i="1"/>
  <c r="AB763" i="1" s="1"/>
  <c r="X400" i="1"/>
  <c r="AB764" i="1" s="1"/>
  <c r="X401" i="1"/>
  <c r="AB765" i="1" s="1"/>
  <c r="X402" i="1"/>
  <c r="AB766" i="1" s="1"/>
  <c r="X403" i="1"/>
  <c r="AB767" i="1" s="1"/>
  <c r="X404" i="1"/>
  <c r="AB768" i="1" s="1"/>
  <c r="X405" i="1"/>
  <c r="AB769" i="1" s="1"/>
  <c r="X406" i="1"/>
  <c r="AB770" i="1" s="1"/>
  <c r="AF11" i="2"/>
  <c r="X409" i="1"/>
  <c r="AB773" i="1" s="1"/>
  <c r="X410" i="1"/>
  <c r="AB774" i="1" s="1"/>
  <c r="X411" i="1"/>
  <c r="AB775" i="1" s="1"/>
  <c r="X412" i="1"/>
  <c r="AB776" i="1" s="1"/>
  <c r="X413" i="1"/>
  <c r="AB777" i="1" s="1"/>
  <c r="X414" i="1"/>
  <c r="AB778" i="1" s="1"/>
  <c r="X415" i="1"/>
  <c r="AB779" i="1" s="1"/>
  <c r="X416" i="1"/>
  <c r="AB780" i="1" s="1"/>
  <c r="X417" i="1"/>
  <c r="AB781" i="1" s="1"/>
  <c r="X418" i="1"/>
  <c r="AB782" i="1" s="1"/>
  <c r="X419" i="1"/>
  <c r="AB783" i="1" s="1"/>
  <c r="X420" i="1"/>
  <c r="AB784" i="1" s="1"/>
  <c r="AG11" i="2"/>
  <c r="X423" i="1"/>
  <c r="AB787" i="1" s="1"/>
  <c r="X424" i="1"/>
  <c r="AB788" i="1" s="1"/>
  <c r="X425" i="1"/>
  <c r="AB789" i="1" s="1"/>
  <c r="X426" i="1"/>
  <c r="AB790" i="1" s="1"/>
  <c r="X427" i="1"/>
  <c r="AB791" i="1" s="1"/>
  <c r="X428" i="1"/>
  <c r="AB792" i="1" s="1"/>
  <c r="X429" i="1"/>
  <c r="AB793" i="1" s="1"/>
  <c r="X430" i="1"/>
  <c r="AB794" i="1" s="1"/>
  <c r="X431" i="1"/>
  <c r="AB795" i="1" s="1"/>
  <c r="X432" i="1"/>
  <c r="AB796" i="1" s="1"/>
  <c r="X433" i="1"/>
  <c r="AB797" i="1" s="1"/>
  <c r="X434" i="1"/>
  <c r="AB798" i="1" s="1"/>
  <c r="AH11" i="2"/>
  <c r="X101" i="1"/>
  <c r="X102" i="1"/>
  <c r="X103" i="1"/>
  <c r="X104" i="1"/>
  <c r="X105" i="1"/>
  <c r="X106" i="1"/>
  <c r="X107" i="1"/>
  <c r="X108" i="1"/>
  <c r="X109" i="1"/>
  <c r="X110" i="1"/>
  <c r="X112" i="1"/>
  <c r="X437" i="1"/>
  <c r="AB801" i="1" s="1"/>
  <c r="X438" i="1"/>
  <c r="AB802" i="1" s="1"/>
  <c r="X439" i="1"/>
  <c r="AB803" i="1" s="1"/>
  <c r="X440" i="1"/>
  <c r="AB804" i="1" s="1"/>
  <c r="X441" i="1"/>
  <c r="AB805" i="1" s="1"/>
  <c r="X442" i="1"/>
  <c r="AB806" i="1" s="1"/>
  <c r="X443" i="1"/>
  <c r="AB807" i="1" s="1"/>
  <c r="X444" i="1"/>
  <c r="AB808" i="1" s="1"/>
  <c r="X445" i="1"/>
  <c r="AB809" i="1" s="1"/>
  <c r="X446" i="1"/>
  <c r="AB810" i="1" s="1"/>
  <c r="X447" i="1"/>
  <c r="AB811" i="1" s="1"/>
  <c r="X448" i="1"/>
  <c r="AB812" i="1" s="1"/>
  <c r="AI11" i="2"/>
  <c r="X451" i="1"/>
  <c r="AB815" i="1" s="1"/>
  <c r="X452" i="1"/>
  <c r="AB816" i="1" s="1"/>
  <c r="X453" i="1"/>
  <c r="AB817" i="1" s="1"/>
  <c r="X454" i="1"/>
  <c r="AB818" i="1" s="1"/>
  <c r="X455" i="1"/>
  <c r="AB819" i="1" s="1"/>
  <c r="X456" i="1"/>
  <c r="AB820" i="1" s="1"/>
  <c r="X457" i="1"/>
  <c r="AB821" i="1" s="1"/>
  <c r="X458" i="1"/>
  <c r="AB822" i="1" s="1"/>
  <c r="X459" i="1"/>
  <c r="AB823" i="1" s="1"/>
  <c r="X460" i="1"/>
  <c r="AB824" i="1" s="1"/>
  <c r="X461" i="1"/>
  <c r="AB825" i="1" s="1"/>
  <c r="X462" i="1"/>
  <c r="AB826" i="1" s="1"/>
  <c r="AJ11" i="2"/>
  <c r="X465" i="1"/>
  <c r="AB829" i="1" s="1"/>
  <c r="X466" i="1"/>
  <c r="AB830" i="1" s="1"/>
  <c r="X467" i="1"/>
  <c r="AB831" i="1" s="1"/>
  <c r="X468" i="1"/>
  <c r="AB832" i="1" s="1"/>
  <c r="X469" i="1"/>
  <c r="AB833" i="1" s="1"/>
  <c r="X470" i="1"/>
  <c r="AB834" i="1" s="1"/>
  <c r="X471" i="1"/>
  <c r="AB835" i="1" s="1"/>
  <c r="X472" i="1"/>
  <c r="AB836" i="1" s="1"/>
  <c r="X473" i="1"/>
  <c r="AB837" i="1" s="1"/>
  <c r="X474" i="1"/>
  <c r="AB838" i="1" s="1"/>
  <c r="X475" i="1"/>
  <c r="AB839" i="1" s="1"/>
  <c r="X476" i="1"/>
  <c r="AB840" i="1" s="1"/>
  <c r="AK11" i="2"/>
  <c r="X479" i="1"/>
  <c r="AB843" i="1" s="1"/>
  <c r="X480" i="1"/>
  <c r="AB844" i="1" s="1"/>
  <c r="X481" i="1"/>
  <c r="AB845" i="1" s="1"/>
  <c r="X482" i="1"/>
  <c r="AB846" i="1" s="1"/>
  <c r="X483" i="1"/>
  <c r="AB847" i="1" s="1"/>
  <c r="X484" i="1"/>
  <c r="AB848" i="1" s="1"/>
  <c r="X485" i="1"/>
  <c r="AB849" i="1" s="1"/>
  <c r="X486" i="1"/>
  <c r="AB850" i="1" s="1"/>
  <c r="X487" i="1"/>
  <c r="AB851" i="1" s="1"/>
  <c r="X488" i="1"/>
  <c r="AB852" i="1" s="1"/>
  <c r="X489" i="1"/>
  <c r="AB853" i="1" s="1"/>
  <c r="X490" i="1"/>
  <c r="AB854" i="1" s="1"/>
  <c r="AL11" i="2"/>
  <c r="X493" i="1"/>
  <c r="AB857" i="1" s="1"/>
  <c r="X494" i="1"/>
  <c r="AB858" i="1" s="1"/>
  <c r="X495" i="1"/>
  <c r="AB859" i="1" s="1"/>
  <c r="X496" i="1"/>
  <c r="AB860" i="1" s="1"/>
  <c r="X497" i="1"/>
  <c r="AB861" i="1" s="1"/>
  <c r="X498" i="1"/>
  <c r="AB862" i="1" s="1"/>
  <c r="X499" i="1"/>
  <c r="AB863" i="1" s="1"/>
  <c r="X500" i="1"/>
  <c r="AB864" i="1" s="1"/>
  <c r="X501" i="1"/>
  <c r="AB865" i="1" s="1"/>
  <c r="X502" i="1"/>
  <c r="AB866" i="1" s="1"/>
  <c r="X503" i="1"/>
  <c r="AB867" i="1" s="1"/>
  <c r="X504" i="1"/>
  <c r="AB868" i="1" s="1"/>
  <c r="AN11" i="2"/>
  <c r="X521" i="1"/>
  <c r="X522" i="1"/>
  <c r="X523" i="1"/>
  <c r="X524" i="1"/>
  <c r="X525" i="1"/>
  <c r="X526" i="1"/>
  <c r="X527" i="1"/>
  <c r="X528" i="1"/>
  <c r="X529" i="1"/>
  <c r="X530" i="1"/>
  <c r="X531" i="1"/>
  <c r="X532" i="1"/>
  <c r="AO11" i="2"/>
  <c r="X535" i="1"/>
  <c r="X536" i="1"/>
  <c r="X537" i="1"/>
  <c r="X538" i="1"/>
  <c r="X539" i="1"/>
  <c r="X540" i="1"/>
  <c r="X541" i="1"/>
  <c r="X542" i="1"/>
  <c r="X543" i="1"/>
  <c r="X544" i="1"/>
  <c r="X545" i="1"/>
  <c r="X546" i="1"/>
  <c r="AP11" i="2"/>
  <c r="X549" i="1"/>
  <c r="X550" i="1"/>
  <c r="X551" i="1"/>
  <c r="X552" i="1"/>
  <c r="X553" i="1"/>
  <c r="X554" i="1"/>
  <c r="X555" i="1"/>
  <c r="X556" i="1"/>
  <c r="X557" i="1"/>
  <c r="X558" i="1"/>
  <c r="X559" i="1"/>
  <c r="X560" i="1"/>
  <c r="AQ11" i="2"/>
  <c r="X563" i="1"/>
  <c r="AB871" i="1" s="1"/>
  <c r="X564" i="1"/>
  <c r="AB872" i="1" s="1"/>
  <c r="X565" i="1"/>
  <c r="AB873" i="1" s="1"/>
  <c r="X566" i="1"/>
  <c r="AB874" i="1" s="1"/>
  <c r="X567" i="1"/>
  <c r="AB875" i="1" s="1"/>
  <c r="X568" i="1"/>
  <c r="AB876" i="1" s="1"/>
  <c r="X569" i="1"/>
  <c r="AB877" i="1" s="1"/>
  <c r="X570" i="1"/>
  <c r="AB878" i="1" s="1"/>
  <c r="X571" i="1"/>
  <c r="AB879" i="1" s="1"/>
  <c r="X572" i="1"/>
  <c r="AB880" i="1" s="1"/>
  <c r="X573" i="1"/>
  <c r="AB881" i="1" s="1"/>
  <c r="X574" i="1"/>
  <c r="AB882" i="1" s="1"/>
  <c r="AR11" i="2"/>
  <c r="X577" i="1"/>
  <c r="X579" i="1"/>
  <c r="X580" i="1"/>
  <c r="X581" i="1"/>
  <c r="X582" i="1"/>
  <c r="X583" i="1"/>
  <c r="X584" i="1"/>
  <c r="X585" i="1"/>
  <c r="X586" i="1"/>
  <c r="X588" i="1"/>
  <c r="G175" i="2"/>
  <c r="G176" i="2"/>
  <c r="X587" i="1"/>
  <c r="AS11" i="2"/>
  <c r="X591" i="1"/>
  <c r="X592" i="1"/>
  <c r="X593" i="1"/>
  <c r="X594" i="1"/>
  <c r="X595" i="1"/>
  <c r="X596" i="1"/>
  <c r="X597" i="1"/>
  <c r="X598" i="1"/>
  <c r="X599" i="1"/>
  <c r="X600" i="1"/>
  <c r="X601" i="1"/>
  <c r="X602" i="1"/>
  <c r="AT11" i="2"/>
  <c r="X605" i="1"/>
  <c r="X606" i="1"/>
  <c r="X607" i="1"/>
  <c r="X608" i="1"/>
  <c r="X609" i="1"/>
  <c r="X610" i="1"/>
  <c r="X611" i="1"/>
  <c r="X612" i="1"/>
  <c r="X613" i="1"/>
  <c r="X614" i="1"/>
  <c r="X615" i="1"/>
  <c r="X616" i="1"/>
  <c r="AU11" i="2"/>
  <c r="X619" i="1"/>
  <c r="X620" i="1"/>
  <c r="X621" i="1"/>
  <c r="X622" i="1"/>
  <c r="X623" i="1"/>
  <c r="X624" i="1"/>
  <c r="X625" i="1"/>
  <c r="X626" i="1"/>
  <c r="X627" i="1"/>
  <c r="X628" i="1"/>
  <c r="X629" i="1"/>
  <c r="X630" i="1"/>
  <c r="AV11" i="2"/>
  <c r="X639" i="1"/>
  <c r="X640" i="1"/>
  <c r="X641" i="1"/>
  <c r="X633" i="1"/>
  <c r="X634" i="1"/>
  <c r="X635" i="1"/>
  <c r="X636" i="1"/>
  <c r="X637" i="1"/>
  <c r="X638" i="1"/>
  <c r="X642" i="1"/>
  <c r="X643" i="1"/>
  <c r="X644" i="1"/>
  <c r="AW11" i="2"/>
  <c r="X653" i="1"/>
  <c r="X654" i="1"/>
  <c r="X655" i="1"/>
  <c r="X647" i="1"/>
  <c r="X648" i="1"/>
  <c r="X649" i="1"/>
  <c r="X650" i="1"/>
  <c r="X651" i="1"/>
  <c r="X656" i="1"/>
  <c r="X657" i="1"/>
  <c r="X658" i="1"/>
  <c r="X652" i="1"/>
  <c r="M129" i="2"/>
  <c r="M136" i="2"/>
  <c r="M143" i="2"/>
  <c r="M150" i="2"/>
  <c r="M157" i="2"/>
  <c r="M164" i="2"/>
  <c r="M171" i="2"/>
  <c r="M178" i="2"/>
</calcChain>
</file>

<file path=xl/sharedStrings.xml><?xml version="1.0" encoding="utf-8"?>
<sst xmlns="http://schemas.openxmlformats.org/spreadsheetml/2006/main" count="2127" uniqueCount="58">
  <si>
    <t>ON</t>
  </si>
  <si>
    <t>QC</t>
  </si>
  <si>
    <t>BC</t>
  </si>
  <si>
    <t>AL</t>
  </si>
  <si>
    <t>MA</t>
  </si>
  <si>
    <t>SA</t>
  </si>
  <si>
    <t>NS</t>
  </si>
  <si>
    <t>NB</t>
  </si>
  <si>
    <t>Cases</t>
  </si>
  <si>
    <t>USA</t>
  </si>
  <si>
    <t>Canada</t>
  </si>
  <si>
    <t>NFLD</t>
  </si>
  <si>
    <t>Case/Mil Pop</t>
  </si>
  <si>
    <t>Tests/Mil Pop</t>
  </si>
  <si>
    <t>Tests</t>
  </si>
  <si>
    <t>Recovered</t>
  </si>
  <si>
    <t>Deceased</t>
  </si>
  <si>
    <t>Population</t>
  </si>
  <si>
    <t>PEI</t>
  </si>
  <si>
    <t>Deceased / Recovered Ratio</t>
  </si>
  <si>
    <t>Cases / Million Population</t>
  </si>
  <si>
    <t>Tests / Million Population</t>
  </si>
  <si>
    <t>Deceased/Million Population</t>
  </si>
  <si>
    <t>Tests Per Million Population</t>
  </si>
  <si>
    <t>Cases Per Million Pop</t>
  </si>
  <si>
    <t>Deaths Per Million Pop</t>
  </si>
  <si>
    <t>Maritimes</t>
  </si>
  <si>
    <t>Ontario</t>
  </si>
  <si>
    <t>Quebec</t>
  </si>
  <si>
    <t>Alberta</t>
  </si>
  <si>
    <t>Manitoba</t>
  </si>
  <si>
    <t>Sask</t>
  </si>
  <si>
    <t>Deceased / Resolved Ratio</t>
  </si>
  <si>
    <t>Deceased / Resolved</t>
  </si>
  <si>
    <t xml:space="preserve">Deceased / Case </t>
  </si>
  <si>
    <t>Active / Million Population</t>
  </si>
  <si>
    <t>Active / Mill Pop</t>
  </si>
  <si>
    <t>Deceased / Case</t>
  </si>
  <si>
    <t>Active Cases</t>
  </si>
  <si>
    <t>Tests / Active Case</t>
  </si>
  <si>
    <t>New Active Case Rate</t>
  </si>
  <si>
    <t>Active</t>
  </si>
  <si>
    <t>Died</t>
  </si>
  <si>
    <t>New Cases / Million</t>
  </si>
  <si>
    <t>New Deaths / Million</t>
  </si>
  <si>
    <t>New Case / Mil</t>
  </si>
  <si>
    <t>31/04/2020</t>
  </si>
  <si>
    <t>Deaths / Mil</t>
  </si>
  <si>
    <t>REGION</t>
  </si>
  <si>
    <t>Overall Score</t>
  </si>
  <si>
    <t>Immunity Level</t>
  </si>
  <si>
    <t>Deaths</t>
  </si>
  <si>
    <t>Recovered / Cases</t>
  </si>
  <si>
    <t>New Cases</t>
  </si>
  <si>
    <t>Last Month</t>
  </si>
  <si>
    <t>Deceased / Resolved (OFR)</t>
  </si>
  <si>
    <t>Deceased / Case (CFR)</t>
  </si>
  <si>
    <t>Rest of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</si>
</sst>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_-* #,##0.0_-;\-* #,##0.0_-;_-* &quot;-&quot;??_-;_-@_-"/>
    <numFmt numFmtId="167" formatCode="0.0%"/>
    <numFmt numFmtId="168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165" fontId="0" fillId="0" borderId="1" xfId="1" applyNumberFormat="1" applyFont="1" applyBorder="1"/>
    <xf numFmtId="17" fontId="3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0" fillId="0" borderId="11" xfId="1" applyNumberFormat="1" applyFont="1" applyBorder="1"/>
    <xf numFmtId="164" fontId="0" fillId="0" borderId="12" xfId="0" applyNumberFormat="1" applyBorder="1" applyAlignment="1">
      <alignment horizontal="center"/>
    </xf>
    <xf numFmtId="165" fontId="0" fillId="0" borderId="2" xfId="1" applyNumberFormat="1" applyFont="1" applyBorder="1"/>
    <xf numFmtId="164" fontId="0" fillId="0" borderId="13" xfId="0" applyNumberFormat="1" applyBorder="1" applyAlignment="1">
      <alignment horizontal="center"/>
    </xf>
    <xf numFmtId="0" fontId="2" fillId="0" borderId="14" xfId="0" applyFont="1" applyBorder="1" applyAlignment="1">
      <alignment horizontal="center"/>
    </xf>
    <xf numFmtId="165" fontId="0" fillId="0" borderId="15" xfId="1" applyNumberFormat="1" applyFont="1" applyBorder="1"/>
    <xf numFmtId="164" fontId="0" fillId="0" borderId="16" xfId="0" applyNumberFormat="1" applyBorder="1" applyAlignment="1">
      <alignment horizontal="center"/>
    </xf>
    <xf numFmtId="43" fontId="0" fillId="0" borderId="1" xfId="1" applyNumberFormat="1" applyFont="1" applyBorder="1"/>
    <xf numFmtId="43" fontId="0" fillId="0" borderId="2" xfId="1" applyNumberFormat="1" applyFont="1" applyBorder="1"/>
    <xf numFmtId="166" fontId="0" fillId="0" borderId="15" xfId="1" applyNumberFormat="1" applyFont="1" applyBorder="1"/>
    <xf numFmtId="17" fontId="3" fillId="0" borderId="3" xfId="0" applyNumberFormat="1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4" fontId="0" fillId="0" borderId="0" xfId="0" applyNumberFormat="1"/>
    <xf numFmtId="1" fontId="0" fillId="0" borderId="0" xfId="0" applyNumberFormat="1"/>
    <xf numFmtId="9" fontId="0" fillId="0" borderId="1" xfId="2" applyFont="1" applyBorder="1" applyAlignment="1">
      <alignment horizontal="center"/>
    </xf>
    <xf numFmtId="9" fontId="0" fillId="0" borderId="2" xfId="2" applyFont="1" applyBorder="1" applyAlignment="1">
      <alignment horizontal="center"/>
    </xf>
    <xf numFmtId="9" fontId="0" fillId="0" borderId="15" xfId="2" applyFont="1" applyBorder="1" applyAlignment="1">
      <alignment horizontal="center"/>
    </xf>
    <xf numFmtId="167" fontId="0" fillId="0" borderId="8" xfId="2" applyNumberFormat="1" applyFont="1" applyBorder="1" applyAlignment="1">
      <alignment horizontal="center"/>
    </xf>
    <xf numFmtId="1" fontId="0" fillId="0" borderId="8" xfId="2" applyNumberFormat="1" applyFont="1" applyBorder="1" applyAlignment="1">
      <alignment horizontal="center"/>
    </xf>
    <xf numFmtId="167" fontId="0" fillId="0" borderId="13" xfId="2" applyNumberFormat="1" applyFont="1" applyBorder="1" applyAlignment="1">
      <alignment horizontal="center"/>
    </xf>
    <xf numFmtId="1" fontId="0" fillId="0" borderId="13" xfId="2" applyNumberFormat="1" applyFont="1" applyBorder="1" applyAlignment="1">
      <alignment horizontal="center"/>
    </xf>
    <xf numFmtId="167" fontId="0" fillId="0" borderId="17" xfId="2" applyNumberFormat="1" applyFont="1" applyBorder="1" applyAlignment="1">
      <alignment horizontal="center"/>
    </xf>
    <xf numFmtId="1" fontId="0" fillId="0" borderId="18" xfId="2" applyNumberFormat="1" applyFont="1" applyBorder="1" applyAlignment="1">
      <alignment horizontal="center"/>
    </xf>
    <xf numFmtId="167" fontId="0" fillId="0" borderId="19" xfId="2" applyNumberFormat="1" applyFont="1" applyBorder="1" applyAlignment="1">
      <alignment horizontal="center"/>
    </xf>
    <xf numFmtId="1" fontId="0" fillId="0" borderId="20" xfId="2" applyNumberFormat="1" applyFont="1" applyBorder="1" applyAlignment="1">
      <alignment horizontal="center"/>
    </xf>
    <xf numFmtId="1" fontId="0" fillId="0" borderId="0" xfId="2" applyNumberFormat="1" applyFont="1"/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1" fontId="0" fillId="0" borderId="25" xfId="2" applyNumberFormat="1" applyFont="1" applyBorder="1" applyAlignment="1">
      <alignment horizontal="center"/>
    </xf>
    <xf numFmtId="1" fontId="0" fillId="0" borderId="26" xfId="2" applyNumberFormat="1" applyFont="1" applyBorder="1" applyAlignment="1">
      <alignment horizontal="center"/>
    </xf>
    <xf numFmtId="167" fontId="0" fillId="0" borderId="1" xfId="2" applyNumberFormat="1" applyFont="1" applyBorder="1" applyAlignment="1">
      <alignment horizontal="center"/>
    </xf>
    <xf numFmtId="167" fontId="0" fillId="0" borderId="2" xfId="2" applyNumberFormat="1" applyFont="1" applyBorder="1" applyAlignment="1">
      <alignment horizontal="center"/>
    </xf>
    <xf numFmtId="0" fontId="2" fillId="0" borderId="28" xfId="0" applyFont="1" applyBorder="1" applyAlignment="1">
      <alignment horizontal="center" wrapText="1"/>
    </xf>
    <xf numFmtId="167" fontId="0" fillId="0" borderId="11" xfId="2" applyNumberFormat="1" applyFont="1" applyBorder="1" applyAlignment="1">
      <alignment horizontal="center"/>
    </xf>
    <xf numFmtId="167" fontId="0" fillId="0" borderId="23" xfId="2" applyNumberFormat="1" applyFont="1" applyBorder="1" applyAlignment="1">
      <alignment horizontal="center"/>
    </xf>
    <xf numFmtId="1" fontId="0" fillId="0" borderId="29" xfId="2" applyNumberFormat="1" applyFont="1" applyBorder="1" applyAlignment="1">
      <alignment horizontal="center"/>
    </xf>
    <xf numFmtId="1" fontId="0" fillId="0" borderId="27" xfId="2" applyNumberFormat="1" applyFont="1" applyBorder="1" applyAlignment="1">
      <alignment horizontal="center"/>
    </xf>
    <xf numFmtId="167" fontId="0" fillId="0" borderId="30" xfId="2" applyNumberFormat="1" applyFont="1" applyBorder="1" applyAlignment="1">
      <alignment horizontal="center"/>
    </xf>
    <xf numFmtId="167" fontId="0" fillId="0" borderId="27" xfId="2" applyNumberFormat="1" applyFont="1" applyBorder="1" applyAlignment="1">
      <alignment horizontal="center"/>
    </xf>
    <xf numFmtId="1" fontId="0" fillId="0" borderId="12" xfId="2" applyNumberFormat="1" applyFont="1" applyBorder="1" applyAlignment="1">
      <alignment horizontal="center"/>
    </xf>
    <xf numFmtId="167" fontId="0" fillId="0" borderId="31" xfId="2" applyNumberFormat="1" applyFont="1" applyBorder="1" applyAlignment="1">
      <alignment horizontal="center"/>
    </xf>
    <xf numFmtId="167" fontId="0" fillId="0" borderId="0" xfId="2" applyNumberFormat="1" applyFont="1"/>
    <xf numFmtId="0" fontId="2" fillId="0" borderId="0" xfId="0" applyFont="1" applyFill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1" fontId="0" fillId="0" borderId="33" xfId="2" applyNumberFormat="1" applyFont="1" applyBorder="1" applyAlignment="1">
      <alignment horizontal="center"/>
    </xf>
    <xf numFmtId="1" fontId="0" fillId="0" borderId="34" xfId="2" applyNumberFormat="1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9" fontId="0" fillId="0" borderId="11" xfId="2" applyFont="1" applyBorder="1" applyAlignment="1">
      <alignment horizontal="center"/>
    </xf>
    <xf numFmtId="1" fontId="0" fillId="0" borderId="35" xfId="2" applyNumberFormat="1" applyFon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36" xfId="2" applyNumberFormat="1" applyFon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65" fontId="0" fillId="0" borderId="23" xfId="1" applyNumberFormat="1" applyFont="1" applyBorder="1"/>
    <xf numFmtId="165" fontId="0" fillId="0" borderId="24" xfId="1" applyNumberFormat="1" applyFont="1" applyBorder="1"/>
    <xf numFmtId="1" fontId="0" fillId="0" borderId="37" xfId="0" applyNumberFormat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165" fontId="0" fillId="0" borderId="30" xfId="1" applyNumberFormat="1" applyFont="1" applyBorder="1"/>
    <xf numFmtId="165" fontId="0" fillId="0" borderId="27" xfId="1" applyNumberFormat="1" applyFont="1" applyBorder="1"/>
    <xf numFmtId="165" fontId="0" fillId="0" borderId="39" xfId="1" applyNumberFormat="1" applyFont="1" applyBorder="1"/>
    <xf numFmtId="165" fontId="0" fillId="0" borderId="29" xfId="1" applyNumberFormat="1" applyFont="1" applyBorder="1"/>
    <xf numFmtId="165" fontId="0" fillId="0" borderId="2" xfId="1" applyNumberFormat="1" applyFont="1" applyFill="1" applyBorder="1"/>
    <xf numFmtId="168" fontId="0" fillId="0" borderId="0" xfId="0" applyNumberFormat="1"/>
    <xf numFmtId="1" fontId="0" fillId="0" borderId="23" xfId="0" applyNumberFormat="1" applyBorder="1" applyAlignment="1">
      <alignment horizontal="center"/>
    </xf>
    <xf numFmtId="9" fontId="0" fillId="0" borderId="37" xfId="2" applyFon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1" fontId="0" fillId="0" borderId="2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65" fontId="0" fillId="0" borderId="1" xfId="0" applyNumberFormat="1" applyBorder="1"/>
    <xf numFmtId="43" fontId="0" fillId="0" borderId="1" xfId="0" applyNumberFormat="1" applyBorder="1"/>
    <xf numFmtId="168" fontId="0" fillId="0" borderId="0" xfId="2" applyNumberFormat="1" applyFont="1"/>
    <xf numFmtId="165" fontId="0" fillId="0" borderId="1" xfId="1" applyNumberFormat="1" applyFont="1" applyFill="1" applyBorder="1"/>
    <xf numFmtId="17" fontId="3" fillId="0" borderId="3" xfId="0" applyNumberFormat="1" applyFont="1" applyFill="1" applyBorder="1" applyAlignment="1">
      <alignment wrapText="1"/>
    </xf>
    <xf numFmtId="10" fontId="0" fillId="0" borderId="0" xfId="2" applyNumberFormat="1" applyFont="1"/>
    <xf numFmtId="0" fontId="0" fillId="0" borderId="40" xfId="0" applyBorder="1"/>
    <xf numFmtId="0" fontId="0" fillId="0" borderId="7" xfId="0" applyBorder="1"/>
    <xf numFmtId="165" fontId="0" fillId="0" borderId="1" xfId="1" applyNumberFormat="1" applyFont="1" applyBorder="1" applyAlignment="1">
      <alignment horizontal="center"/>
    </xf>
    <xf numFmtId="0" fontId="0" fillId="0" borderId="42" xfId="0" applyBorder="1"/>
    <xf numFmtId="165" fontId="0" fillId="0" borderId="43" xfId="1" applyNumberFormat="1" applyFont="1" applyBorder="1" applyAlignment="1">
      <alignment horizontal="center"/>
    </xf>
    <xf numFmtId="167" fontId="0" fillId="0" borderId="41" xfId="2" applyNumberFormat="1" applyFont="1" applyBorder="1"/>
    <xf numFmtId="0" fontId="2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165" fontId="0" fillId="0" borderId="2" xfId="1" applyNumberFormat="1" applyFont="1" applyBorder="1" applyAlignment="1">
      <alignment horizontal="center"/>
    </xf>
    <xf numFmtId="0" fontId="0" fillId="0" borderId="14" xfId="0" applyBorder="1"/>
    <xf numFmtId="165" fontId="0" fillId="0" borderId="15" xfId="1" applyNumberFormat="1" applyFont="1" applyBorder="1" applyAlignment="1">
      <alignment horizontal="center"/>
    </xf>
    <xf numFmtId="167" fontId="0" fillId="0" borderId="16" xfId="2" applyNumberFormat="1" applyFont="1" applyBorder="1"/>
    <xf numFmtId="165" fontId="0" fillId="0" borderId="44" xfId="1" applyNumberFormat="1" applyFont="1" applyBorder="1"/>
    <xf numFmtId="165" fontId="0" fillId="0" borderId="45" xfId="1" applyNumberFormat="1" applyFont="1" applyBorder="1"/>
    <xf numFmtId="165" fontId="0" fillId="0" borderId="46" xfId="1" applyNumberFormat="1" applyFont="1" applyBorder="1"/>
    <xf numFmtId="1" fontId="0" fillId="0" borderId="47" xfId="0" applyNumberFormat="1" applyBorder="1" applyAlignment="1">
      <alignment horizontal="center"/>
    </xf>
    <xf numFmtId="1" fontId="0" fillId="0" borderId="48" xfId="0" applyNumberForma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5" fontId="0" fillId="0" borderId="0" xfId="1" applyNumberFormat="1" applyFont="1" applyBorder="1"/>
    <xf numFmtId="165" fontId="0" fillId="0" borderId="8" xfId="1" applyNumberFormat="1" applyFont="1" applyBorder="1"/>
    <xf numFmtId="165" fontId="0" fillId="0" borderId="13" xfId="1" applyNumberFormat="1" applyFont="1" applyBorder="1"/>
    <xf numFmtId="165" fontId="0" fillId="0" borderId="46" xfId="1" applyNumberFormat="1" applyFont="1" applyBorder="1" applyAlignment="1">
      <alignment horizontal="center"/>
    </xf>
    <xf numFmtId="167" fontId="0" fillId="0" borderId="49" xfId="2" applyNumberFormat="1" applyFont="1" applyBorder="1"/>
    <xf numFmtId="9" fontId="0" fillId="0" borderId="0" xfId="2" applyFont="1"/>
    <xf numFmtId="9" fontId="0" fillId="0" borderId="0" xfId="0" applyNumberFormat="1"/>
    <xf numFmtId="167" fontId="0" fillId="0" borderId="0" xfId="0" applyNumberFormat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55E91"/>
      <color rgb="FF33CC33"/>
      <color rgb="FFFFFF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6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1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3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6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1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2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5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6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Estimated Infection Level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Data!$X$926</c:f>
              <c:strCache>
                <c:ptCount val="1"/>
                <c:pt idx="0">
                  <c:v>Immunity Level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56-49A0-B70B-78B91EAB232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56-49A0-B70B-78B91EAB232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56-49A0-B70B-78B91EAB232B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56-49A0-B70B-78B91EAB232B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56-49A0-B70B-78B91EAB232B}"/>
              </c:ext>
            </c:extLst>
          </c:dPt>
          <c:dPt>
            <c:idx val="6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A56-49A0-B70B-78B91EAB232B}"/>
              </c:ext>
            </c:extLst>
          </c:dPt>
          <c:dPt>
            <c:idx val="7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56-49A0-B70B-78B91EAB232B}"/>
              </c:ext>
            </c:extLst>
          </c:dPt>
          <c:dPt>
            <c:idx val="8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A56-49A0-B70B-78B91EAB232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A56-49A0-B70B-78B91EAB232B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A56-49A0-B70B-78B91EAB232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A56-49A0-B70B-78B91EAB232B}"/>
              </c:ext>
            </c:extLst>
          </c:dPt>
          <c:cat>
            <c:strRef>
              <c:f>Data!$V$927:$V$938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Data!$X$927:$X$938</c:f>
              <c:numCache>
                <c:formatCode>0.0%</c:formatCode>
                <c:ptCount val="12"/>
                <c:pt idx="0">
                  <c:v>2.619511576400806E-2</c:v>
                </c:pt>
                <c:pt idx="1">
                  <c:v>9.7478779248245884E-2</c:v>
                </c:pt>
                <c:pt idx="2">
                  <c:v>1.7133933234076804E-2</c:v>
                </c:pt>
                <c:pt idx="3">
                  <c:v>1.9903061097630556E-2</c:v>
                </c:pt>
                <c:pt idx="4">
                  <c:v>5.613233906330708E-3</c:v>
                </c:pt>
                <c:pt idx="5">
                  <c:v>1.3392625774120905E-2</c:v>
                </c:pt>
                <c:pt idx="6">
                  <c:v>2.1898795843362143E-2</c:v>
                </c:pt>
                <c:pt idx="7">
                  <c:v>4.3113998553206767E-3</c:v>
                </c:pt>
                <c:pt idx="8">
                  <c:v>2.84427489164839E-3</c:v>
                </c:pt>
                <c:pt idx="9">
                  <c:v>1.5643309052941114E-2</c:v>
                </c:pt>
                <c:pt idx="10">
                  <c:v>3.8065957446808511E-2</c:v>
                </c:pt>
                <c:pt idx="11">
                  <c:v>9.5695467014813823E-2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A56-49A0-B70B-78B91EAB232B}"/>
            </c:ext>
          </c:extLst>
        </c:ser>
        <c:ser>
          <c:idx val="1"/>
          <c:order val="1"/>
          <c:tx>
            <c:strRef>
              <c:f>Data!$AB$926</c:f>
              <c:strCache>
                <c:ptCount val="1"/>
                <c:pt idx="0">
                  <c:v>Last Month</c:v>
                </c:pt>
              </c:strCache>
            </c:strRef>
          </c:tx>
          <c:spPr>
            <a:pattFill prst="wdUpDiag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5A56-49A0-B70B-78B91EAB232B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5A56-49A0-B70B-78B91EAB232B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5A56-49A0-B70B-78B91EAB232B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5A56-49A0-B70B-78B91EAB232B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030A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5A56-49A0-B70B-78B91EAB232B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5A56-49A0-B70B-78B91EAB232B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5A56-49A0-B70B-78B91EAB232B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5A56-49A0-B70B-78B91EAB232B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5A56-49A0-B70B-78B91EAB232B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5A56-49A0-B70B-78B91EAB232B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5A56-49A0-B70B-78B91EAB232B}"/>
              </c:ext>
            </c:extLst>
          </c:dPt>
          <c:cat>
            <c:strRef>
              <c:f>Data!$V$927:$V$938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Data!$AB$927:$AB$938</c:f>
              <c:numCache>
                <c:formatCode>0.0%</c:formatCode>
                <c:ptCount val="12"/>
                <c:pt idx="0">
                  <c:v>2.553126227631327E-2</c:v>
                </c:pt>
                <c:pt idx="1">
                  <c:v>8.1798888992751201E-2</c:v>
                </c:pt>
                <c:pt idx="2">
                  <c:v>1.2826773244915171E-2</c:v>
                </c:pt>
                <c:pt idx="3">
                  <c:v>1.7403698226520898E-2</c:v>
                </c:pt>
                <c:pt idx="4">
                  <c:v>4.5071736662343894E-3</c:v>
                </c:pt>
                <c:pt idx="5">
                  <c:v>9.425594702762486E-3</c:v>
                </c:pt>
                <c:pt idx="6">
                  <c:v>1.7582581635686271E-2</c:v>
                </c:pt>
                <c:pt idx="7">
                  <c:v>3.3560227016229422E-3</c:v>
                </c:pt>
                <c:pt idx="8">
                  <c:v>2.5374237839937441E-3</c:v>
                </c:pt>
                <c:pt idx="9">
                  <c:v>1.4085365021505519E-2</c:v>
                </c:pt>
                <c:pt idx="10">
                  <c:v>3.489716312056737E-2</c:v>
                </c:pt>
                <c:pt idx="11">
                  <c:v>6.9249826164484121E-2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5A56-49A0-B70B-78B91EAB2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0"/>
        <c:axId val="296235904"/>
        <c:axId val="296237216"/>
      </c:barChart>
      <c:catAx>
        <c:axId val="29623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37216"/>
        <c:crosses val="autoZero"/>
        <c:auto val="1"/>
        <c:lblAlgn val="ctr"/>
        <c:lblOffset val="100"/>
        <c:noMultiLvlLbl val="0"/>
      </c:catAx>
      <c:valAx>
        <c:axId val="296237216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3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Estimated Infection Level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Data!$X$912</c:f>
              <c:strCache>
                <c:ptCount val="1"/>
                <c:pt idx="0">
                  <c:v>Immunity Level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D1-48F0-ACA0-506B405E0EC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D1-48F0-ACA0-506B405E0EC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BD1-48F0-ACA0-506B405E0ECB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BD1-48F0-ACA0-506B405E0ECB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BD1-48F0-ACA0-506B405E0ECB}"/>
              </c:ext>
            </c:extLst>
          </c:dPt>
          <c:dPt>
            <c:idx val="6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BD1-48F0-ACA0-506B405E0ECB}"/>
              </c:ext>
            </c:extLst>
          </c:dPt>
          <c:dPt>
            <c:idx val="7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BD1-48F0-ACA0-506B405E0ECB}"/>
              </c:ext>
            </c:extLst>
          </c:dPt>
          <c:dPt>
            <c:idx val="8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BD1-48F0-ACA0-506B405E0EC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BD1-48F0-ACA0-506B405E0ECB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BD1-48F0-ACA0-506B405E0EC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BD1-48F0-ACA0-506B405E0ECB}"/>
              </c:ext>
            </c:extLst>
          </c:dPt>
          <c:cat>
            <c:strRef>
              <c:f>Data!$V$913:$V$924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Data!$X$913:$X$924</c:f>
              <c:numCache>
                <c:formatCode>0.0%</c:formatCode>
                <c:ptCount val="12"/>
                <c:pt idx="0">
                  <c:v>2.5829499023161007E-2</c:v>
                </c:pt>
                <c:pt idx="1">
                  <c:v>9.552399887838782E-2</c:v>
                </c:pt>
                <c:pt idx="2">
                  <c:v>1.6146395929260343E-2</c:v>
                </c:pt>
                <c:pt idx="3">
                  <c:v>1.9103726186925962E-2</c:v>
                </c:pt>
                <c:pt idx="4">
                  <c:v>5.4477759536391505E-3</c:v>
                </c:pt>
                <c:pt idx="5">
                  <c:v>1.2787227807285449E-2</c:v>
                </c:pt>
                <c:pt idx="6">
                  <c:v>2.078451626330733E-2</c:v>
                </c:pt>
                <c:pt idx="7">
                  <c:v>4.0705910577856011E-3</c:v>
                </c:pt>
                <c:pt idx="8">
                  <c:v>2.6665494474197877E-3</c:v>
                </c:pt>
                <c:pt idx="9">
                  <c:v>1.6458245820448695E-2</c:v>
                </c:pt>
                <c:pt idx="10">
                  <c:v>3.7346099290780144E-2</c:v>
                </c:pt>
                <c:pt idx="11">
                  <c:v>8.6649501420049915E-2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BD1-48F0-ACA0-506B405E0ECB}"/>
            </c:ext>
          </c:extLst>
        </c:ser>
        <c:ser>
          <c:idx val="1"/>
          <c:order val="1"/>
          <c:tx>
            <c:strRef>
              <c:f>Data!$AB$912</c:f>
              <c:strCache>
                <c:ptCount val="1"/>
                <c:pt idx="0">
                  <c:v>Last Month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DBD1-48F0-ACA0-506B405E0ECB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DBD1-48F0-ACA0-506B405E0ECB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DBD1-48F0-ACA0-506B405E0ECB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030A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DBD1-48F0-ACA0-506B405E0ECB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DBD1-48F0-ACA0-506B405E0ECB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DBD1-48F0-ACA0-506B405E0ECB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DBD1-48F0-ACA0-506B405E0ECB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DBD1-48F0-ACA0-506B405E0ECB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DBD1-48F0-ACA0-506B405E0ECB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DBD1-48F0-ACA0-506B405E0ECB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DBD1-48F0-ACA0-506B405E0ECB}"/>
              </c:ext>
            </c:extLst>
          </c:dPt>
          <c:cat>
            <c:strRef>
              <c:f>Data!$V$913:$V$924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Data!$AB$913:$AB$924</c:f>
              <c:numCache>
                <c:formatCode>0.0%</c:formatCode>
                <c:ptCount val="12"/>
                <c:pt idx="0">
                  <c:v>2.4988038557378061E-2</c:v>
                </c:pt>
                <c:pt idx="1">
                  <c:v>7.2574508136816429E-2</c:v>
                </c:pt>
                <c:pt idx="2">
                  <c:v>1.176665484768002E-2</c:v>
                </c:pt>
                <c:pt idx="3">
                  <c:v>1.7198459698353236E-2</c:v>
                </c:pt>
                <c:pt idx="4">
                  <c:v>4.2641412905793782E-3</c:v>
                </c:pt>
                <c:pt idx="5">
                  <c:v>8.8135742013265173E-3</c:v>
                </c:pt>
                <c:pt idx="6">
                  <c:v>1.5722222574448056E-2</c:v>
                </c:pt>
                <c:pt idx="7">
                  <c:v>2.8137877487369239E-3</c:v>
                </c:pt>
                <c:pt idx="8">
                  <c:v>2.5383870736000189E-3</c:v>
                </c:pt>
                <c:pt idx="9">
                  <c:v>1.3605918409010563E-2</c:v>
                </c:pt>
                <c:pt idx="10">
                  <c:v>3.3236170212765953E-2</c:v>
                </c:pt>
                <c:pt idx="11">
                  <c:v>6.5935862373464757E-2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DBD1-48F0-ACA0-506B405E0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0"/>
        <c:axId val="296235904"/>
        <c:axId val="296237216"/>
      </c:barChart>
      <c:catAx>
        <c:axId val="29623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37216"/>
        <c:crosses val="autoZero"/>
        <c:auto val="1"/>
        <c:lblAlgn val="ctr"/>
        <c:lblOffset val="100"/>
        <c:noMultiLvlLbl val="0"/>
      </c:catAx>
      <c:valAx>
        <c:axId val="296237216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3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Active Cases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BA-4DD0-9290-87DA668634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BA-4DD0-9290-87DA668634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5BA-4DD0-9290-87DA668634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5BA-4DD0-9290-87DA668634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5BA-4DD0-9290-87DA668634E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5BA-4DD0-9290-87DA668634E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5BA-4DD0-9290-87DA668634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5BA-4DD0-9290-87DA668634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5BA-4DD0-9290-87DA668634E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5BA-4DD0-9290-87DA668634EC}"/>
              </c:ext>
            </c:extLst>
          </c:dPt>
          <c:dLbls>
            <c:dLbl>
              <c:idx val="3"/>
              <c:layout>
                <c:manualLayout>
                  <c:x val="3.5178542497002689E-2"/>
                  <c:y val="9.008367624932959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5BA-4DD0-9290-87DA668634E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BA-4DD0-9290-87DA668634E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BA-4DD0-9290-87DA668634E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BA-4DD0-9290-87DA668634E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5BA-4DD0-9290-87DA668634E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5BA-4DD0-9290-87DA668634E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5BA-4DD0-9290-87DA668634E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Data!$B$913:$B$922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Data!$H$913:$H$922</c:f>
              <c:numCache>
                <c:formatCode>_-* #,##0_-;\-* #,##0_-;_-* "-"??_-;_-@_-</c:formatCode>
                <c:ptCount val="10"/>
                <c:pt idx="0">
                  <c:v>1886</c:v>
                </c:pt>
                <c:pt idx="1">
                  <c:v>24938</c:v>
                </c:pt>
                <c:pt idx="2">
                  <c:v>162</c:v>
                </c:pt>
                <c:pt idx="3">
                  <c:v>572</c:v>
                </c:pt>
                <c:pt idx="4">
                  <c:v>16</c:v>
                </c:pt>
                <c:pt idx="5">
                  <c:v>71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5BA-4DD0-9290-87DA66863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Mortality Rates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52564725705582"/>
          <c:y val="0.13434676155498712"/>
          <c:w val="0.79301659051877793"/>
          <c:h val="0.778639410091887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Data!$Z$912</c:f>
              <c:strCache>
                <c:ptCount val="1"/>
                <c:pt idx="0">
                  <c:v>Deceased / Resolved (OFR)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EA-4012-A154-7772BC0A75C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CEA-4012-A154-7772BC0A75C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CEA-4012-A154-7772BC0A75CB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CEA-4012-A154-7772BC0A75CB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CEA-4012-A154-7772BC0A75CB}"/>
              </c:ext>
            </c:extLst>
          </c:dPt>
          <c:dPt>
            <c:idx val="6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CEA-4012-A154-7772BC0A75CB}"/>
              </c:ext>
            </c:extLst>
          </c:dPt>
          <c:dPt>
            <c:idx val="7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CEA-4012-A154-7772BC0A75C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CEA-4012-A154-7772BC0A75CB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CEA-4012-A154-7772BC0A75C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CEA-4012-A154-7772BC0A75CB}"/>
              </c:ext>
            </c:extLst>
          </c:dPt>
          <c:cat>
            <c:strRef>
              <c:f>Data!$V$913:$V$924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Data!$Z$913:$Z$924</c:f>
              <c:numCache>
                <c:formatCode>0%</c:formatCode>
                <c:ptCount val="12"/>
                <c:pt idx="0">
                  <c:v>7.9567663606751549E-2</c:v>
                </c:pt>
                <c:pt idx="1">
                  <c:v>0.18044479024833041</c:v>
                </c:pt>
                <c:pt idx="2">
                  <c:v>6.3554757630161579E-2</c:v>
                </c:pt>
                <c:pt idx="3">
                  <c:v>2.0163913100039028E-2</c:v>
                </c:pt>
                <c:pt idx="4">
                  <c:v>2.2653721682847898E-2</c:v>
                </c:pt>
                <c:pt idx="5">
                  <c:v>1.9310344827586208E-2</c:v>
                </c:pt>
                <c:pt idx="6">
                  <c:v>5.937794533459001E-2</c:v>
                </c:pt>
                <c:pt idx="7">
                  <c:v>1.2195121951219513E-2</c:v>
                </c:pt>
                <c:pt idx="8">
                  <c:v>0</c:v>
                </c:pt>
                <c:pt idx="9">
                  <c:v>1.1494252873563218E-2</c:v>
                </c:pt>
                <c:pt idx="10">
                  <c:v>0.11168623815409971</c:v>
                </c:pt>
                <c:pt idx="11">
                  <c:v>9.5584020148671636E-2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CEA-4012-A154-7772BC0A75CB}"/>
            </c:ext>
          </c:extLst>
        </c:ser>
        <c:ser>
          <c:idx val="1"/>
          <c:order val="1"/>
          <c:tx>
            <c:strRef>
              <c:f>Data!$AA$912</c:f>
              <c:strCache>
                <c:ptCount val="1"/>
                <c:pt idx="0">
                  <c:v>Deceased / Case (CFR)</c:v>
                </c:pt>
              </c:strCache>
            </c:strRef>
          </c:tx>
          <c:spPr>
            <a:pattFill prst="wdUpDiag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9CEA-4012-A154-7772BC0A75CB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9CEA-4012-A154-7772BC0A75CB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9CEA-4012-A154-7772BC0A75CB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9CEA-4012-A154-7772BC0A75CB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030A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9CEA-4012-A154-7772BC0A75CB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9CEA-4012-A154-7772BC0A75CB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9CEA-4012-A154-7772BC0A75CB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9CEA-4012-A154-7772BC0A75CB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9CEA-4012-A154-7772BC0A75CB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9CEA-4012-A154-7772BC0A75CB}"/>
              </c:ext>
            </c:extLst>
          </c:dPt>
          <c:cat>
            <c:strRef>
              <c:f>Data!$V$913:$V$924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Data!$AA$913:$AA$924</c:f>
              <c:numCache>
                <c:formatCode>0%</c:formatCode>
                <c:ptCount val="12"/>
                <c:pt idx="0">
                  <c:v>7.5358985864931574E-2</c:v>
                </c:pt>
                <c:pt idx="1">
                  <c:v>9.9777714039868057E-2</c:v>
                </c:pt>
                <c:pt idx="2">
                  <c:v>6.0061079063454363E-2</c:v>
                </c:pt>
                <c:pt idx="3">
                  <c:v>1.876740525487347E-2</c:v>
                </c:pt>
                <c:pt idx="4">
                  <c:v>2.1538461538461538E-2</c:v>
                </c:pt>
                <c:pt idx="5">
                  <c:v>1.7587939698492462E-2</c:v>
                </c:pt>
                <c:pt idx="6">
                  <c:v>5.921052631578947E-2</c:v>
                </c:pt>
                <c:pt idx="7">
                  <c:v>1.2121212121212121E-2</c:v>
                </c:pt>
                <c:pt idx="8">
                  <c:v>0</c:v>
                </c:pt>
                <c:pt idx="9">
                  <c:v>1.1494252873563218E-2</c:v>
                </c:pt>
                <c:pt idx="10">
                  <c:v>8.2361654449466373E-2</c:v>
                </c:pt>
                <c:pt idx="11">
                  <c:v>4.5219393898769271E-2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CEA-4012-A154-7772BC0A7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2047096"/>
        <c:axId val="312063496"/>
      </c:barChart>
      <c:catAx>
        <c:axId val="312047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Algn val="ctr"/>
        <c:lblOffset val="100"/>
        <c:noMultiLvlLbl val="0"/>
      </c:catAx>
      <c:valAx>
        <c:axId val="312063496"/>
        <c:scaling>
          <c:orientation val="minMax"/>
          <c:max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699199637082405"/>
          <c:y val="0.39060000666885786"/>
          <c:w val="0.30421130229091736"/>
          <c:h val="0.24100394891654878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Total Deaths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8B-44EF-8DD6-83361F82C8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8B-44EF-8DD6-83361F82C8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8B-44EF-8DD6-83361F82C8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8B-44EF-8DD6-83361F82C8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88B-44EF-8DD6-83361F82C8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88B-44EF-8DD6-83361F82C85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88B-44EF-8DD6-83361F82C85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88B-44EF-8DD6-83361F82C85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88B-44EF-8DD6-83361F82C85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88B-44EF-8DD6-83361F82C859}"/>
              </c:ext>
            </c:extLst>
          </c:dPt>
          <c:dLbls>
            <c:dLbl>
              <c:idx val="2"/>
              <c:layout>
                <c:manualLayout>
                  <c:x val="-2.9569278377239883E-2"/>
                  <c:y val="-4.94138390928981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88B-44EF-8DD6-83361F82C859}"/>
                </c:ext>
              </c:extLst>
            </c:dLbl>
            <c:dLbl>
              <c:idx val="3"/>
              <c:layout>
                <c:manualLayout>
                  <c:x val="1.6888953695602865E-2"/>
                  <c:y val="-5.29652147911890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88B-44EF-8DD6-83361F82C85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8B-44EF-8DD6-83361F82C85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8B-44EF-8DD6-83361F82C85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8B-44EF-8DD6-83361F82C85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88B-44EF-8DD6-83361F82C85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88B-44EF-8DD6-83361F82C8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Data!$B$913:$B$922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Data!$F$913:$F$922</c:f>
              <c:numCache>
                <c:formatCode>_-* #,##0_-;\-* #,##0_-;_-* "-"??_-;_-@_-</c:formatCode>
                <c:ptCount val="10"/>
                <c:pt idx="0">
                  <c:v>2687</c:v>
                </c:pt>
                <c:pt idx="1">
                  <c:v>5566</c:v>
                </c:pt>
                <c:pt idx="2">
                  <c:v>177</c:v>
                </c:pt>
                <c:pt idx="3">
                  <c:v>155</c:v>
                </c:pt>
                <c:pt idx="4">
                  <c:v>7</c:v>
                </c:pt>
                <c:pt idx="5">
                  <c:v>14</c:v>
                </c:pt>
                <c:pt idx="6">
                  <c:v>63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88B-44EF-8DD6-83361F82C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Deaths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CF-4096-AA80-14247E8B5E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CF-4096-AA80-14247E8B5E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CF-4096-AA80-14247E8B5E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CF-4096-AA80-14247E8B5E94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CF-4096-AA80-14247E8B5E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3CF-4096-AA80-14247E8B5E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3CF-4096-AA80-14247E8B5E9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3CF-4096-AA80-14247E8B5E9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3CF-4096-AA80-14247E8B5E9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3CF-4096-AA80-14247E8B5E94}"/>
              </c:ext>
            </c:extLst>
          </c:dPt>
          <c:dLbls>
            <c:dLbl>
              <c:idx val="2"/>
              <c:layout>
                <c:manualLayout>
                  <c:x val="-1.6213829752762463E-2"/>
                  <c:y val="-9.396135609631074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3CF-4096-AA80-14247E8B5E94}"/>
                </c:ext>
              </c:extLst>
            </c:dLbl>
            <c:dLbl>
              <c:idx val="3"/>
              <c:layout>
                <c:manualLayout>
                  <c:x val="-6.0799228800103688E-2"/>
                  <c:y val="6.66951441196432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3CF-4096-AA80-14247E8B5E94}"/>
                </c:ext>
              </c:extLst>
            </c:dLbl>
            <c:dLbl>
              <c:idx val="4"/>
              <c:layout>
                <c:manualLayout>
                  <c:x val="-3.1876802436732444E-3"/>
                  <c:y val="-4.07111294632474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3CF-4096-AA80-14247E8B5E94}"/>
                </c:ext>
              </c:extLst>
            </c:dLbl>
            <c:dLbl>
              <c:idx val="5"/>
              <c:layout>
                <c:manualLayout>
                  <c:x val="3.235945043906549E-2"/>
                  <c:y val="4.92313460817397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3CF-4096-AA80-14247E8B5E94}"/>
                </c:ext>
              </c:extLst>
            </c:dLbl>
            <c:dLbl>
              <c:idx val="6"/>
              <c:layout>
                <c:manualLayout>
                  <c:x val="-6.7626130067075019E-2"/>
                  <c:y val="3.6346010546150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3CF-4096-AA80-14247E8B5E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CF-4096-AA80-14247E8B5E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CF-4096-AA80-14247E8B5E9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Data!$B$913:$B$922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Data!$O$913:$O$922</c:f>
              <c:numCache>
                <c:formatCode>0.00</c:formatCode>
                <c:ptCount val="10"/>
                <c:pt idx="0">
                  <c:v>185.95155709342561</c:v>
                </c:pt>
                <c:pt idx="1">
                  <c:v>660.26097271648871</c:v>
                </c:pt>
                <c:pt idx="2">
                  <c:v>35.258964143426297</c:v>
                </c:pt>
                <c:pt idx="3">
                  <c:v>35.714285714285715</c:v>
                </c:pt>
                <c:pt idx="4">
                  <c:v>5.1470588235294112</c:v>
                </c:pt>
                <c:pt idx="5">
                  <c:v>11.965811965811966</c:v>
                </c:pt>
                <c:pt idx="6">
                  <c:v>65.284974093264253</c:v>
                </c:pt>
                <c:pt idx="7">
                  <c:v>2.5906735751295336</c:v>
                </c:pt>
                <c:pt idx="8">
                  <c:v>0</c:v>
                </c:pt>
                <c:pt idx="9">
                  <c:v>5.7251908396946565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3CF-4096-AA80-14247E8B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Active Cases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8AE-43FD-AACF-41BAADB8DC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AE-43FD-AACF-41BAADB8DC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AE-43FD-AACF-41BAADB8DC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AE-43FD-AACF-41BAADB8DC92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8AE-43FD-AACF-41BAADB8DC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8AE-43FD-AACF-41BAADB8DC9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8AE-43FD-AACF-41BAADB8DC9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8AE-43FD-AACF-41BAADB8DC92}"/>
              </c:ext>
            </c:extLst>
          </c:dPt>
          <c:dPt>
            <c:idx val="8"/>
            <c:bubble3D val="0"/>
            <c:spPr>
              <a:solidFill>
                <a:srgbClr val="255E9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8AE-43FD-AACF-41BAADB8DC9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8AE-43FD-AACF-41BAADB8DC92}"/>
              </c:ext>
            </c:extLst>
          </c:dPt>
          <c:dLbls>
            <c:dLbl>
              <c:idx val="0"/>
              <c:layout>
                <c:manualLayout>
                  <c:x val="6.4803473639869092E-3"/>
                  <c:y val="6.0526690492802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8AE-43FD-AACF-41BAADB8DC92}"/>
                </c:ext>
              </c:extLst>
            </c:dLbl>
            <c:dLbl>
              <c:idx val="2"/>
              <c:layout>
                <c:manualLayout>
                  <c:x val="-1.2137163410129366E-2"/>
                  <c:y val="-1.3633580612550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8AE-43FD-AACF-41BAADB8DC92}"/>
                </c:ext>
              </c:extLst>
            </c:dLbl>
            <c:dLbl>
              <c:idx val="3"/>
              <c:layout>
                <c:manualLayout>
                  <c:x val="-7.1414082498946971E-2"/>
                  <c:y val="7.49035326280417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8AE-43FD-AACF-41BAADB8DC9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AE-43FD-AACF-41BAADB8DC9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8AE-43FD-AACF-41BAADB8DC9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8AE-43FD-AACF-41BAADB8DC92}"/>
                </c:ext>
              </c:extLst>
            </c:dLbl>
            <c:dLbl>
              <c:idx val="8"/>
              <c:layout>
                <c:manualLayout>
                  <c:x val="3.8474287936230193E-2"/>
                  <c:y val="-5.912393862159635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8AE-43FD-AACF-41BAADB8DC9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8AE-43FD-AACF-41BAADB8DC92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Data!$B$913:$B$922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Data!$Q$913:$Q$922</c:f>
              <c:numCache>
                <c:formatCode>0</c:formatCode>
                <c:ptCount val="10"/>
                <c:pt idx="0">
                  <c:v>130.51903114186851</c:v>
                </c:pt>
                <c:pt idx="1">
                  <c:v>2958.2443653618034</c:v>
                </c:pt>
                <c:pt idx="2">
                  <c:v>32.270916334661358</c:v>
                </c:pt>
                <c:pt idx="3">
                  <c:v>131.79723502304148</c:v>
                </c:pt>
                <c:pt idx="4">
                  <c:v>11.76470588235294</c:v>
                </c:pt>
                <c:pt idx="5">
                  <c:v>60.683760683760688</c:v>
                </c:pt>
                <c:pt idx="6">
                  <c:v>3.1088082901554404</c:v>
                </c:pt>
                <c:pt idx="7">
                  <c:v>1.2953367875647668</c:v>
                </c:pt>
                <c:pt idx="8">
                  <c:v>19.480519480519479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8AE-43FD-AACF-41BAADB8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New Deaths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570-40BC-A3B1-F061B6B19C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570-40BC-A3B1-F061B6B19C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570-40BC-A3B1-F061B6B19C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570-40BC-A3B1-F061B6B19C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570-40BC-A3B1-F061B6B19C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570-40BC-A3B1-F061B6B19CA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570-40BC-A3B1-F061B6B19CA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570-40BC-A3B1-F061B6B19CA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570-40BC-A3B1-F061B6B19CA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570-40BC-A3B1-F061B6B19CA3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70-40BC-A3B1-F061B6B19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70-40BC-A3B1-F061B6B19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70-40BC-A3B1-F061B6B19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70-40BC-A3B1-F061B6B19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70-40BC-A3B1-F061B6B19CA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Data!$B$913:$B$922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Data!$T$913:$T$922</c:f>
              <c:numCache>
                <c:formatCode>_(* #,##0.00_);_(* \(#,##0.00\);_(* "-"??_);_(@_)</c:formatCode>
                <c:ptCount val="10"/>
                <c:pt idx="0">
                  <c:v>0.34602076124567477</c:v>
                </c:pt>
                <c:pt idx="1">
                  <c:v>1.9996610743941705</c:v>
                </c:pt>
                <c:pt idx="2">
                  <c:v>8.5372794536141147E-2</c:v>
                </c:pt>
                <c:pt idx="3">
                  <c:v>3.2916392363396975E-2</c:v>
                </c:pt>
                <c:pt idx="4">
                  <c:v>0</c:v>
                </c:pt>
                <c:pt idx="5">
                  <c:v>0.12210012210012211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570-40BC-A3B1-F061B6B19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New Cases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2F-441B-80BF-D79956F018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2F-441B-80BF-D79956F018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2F-441B-80BF-D79956F018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02F-441B-80BF-D79956F018E2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2F-441B-80BF-D79956F018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02F-441B-80BF-D79956F018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02F-441B-80BF-D79956F018E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02F-441B-80BF-D79956F018E2}"/>
              </c:ext>
            </c:extLst>
          </c:dPt>
          <c:dPt>
            <c:idx val="8"/>
            <c:bubble3D val="0"/>
            <c:spPr>
              <a:solidFill>
                <a:srgbClr val="255E9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02F-441B-80BF-D79956F018E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02F-441B-80BF-D79956F018E2}"/>
              </c:ext>
            </c:extLst>
          </c:dPt>
          <c:dLbls>
            <c:dLbl>
              <c:idx val="2"/>
              <c:layout>
                <c:manualLayout>
                  <c:x val="9.2929020446518254E-2"/>
                  <c:y val="2.62277341914539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02F-441B-80BF-D79956F018E2}"/>
                </c:ext>
              </c:extLst>
            </c:dLbl>
            <c:dLbl>
              <c:idx val="5"/>
              <c:layout>
                <c:manualLayout>
                  <c:x val="-6.2102896860114706E-2"/>
                  <c:y val="0.126394327291367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02F-441B-80BF-D79956F018E2}"/>
                </c:ext>
              </c:extLst>
            </c:dLbl>
            <c:dLbl>
              <c:idx val="6"/>
              <c:layout>
                <c:manualLayout>
                  <c:x val="1.4052201808107319E-2"/>
                  <c:y val="2.42324139862264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02F-441B-80BF-D79956F018E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02F-441B-80BF-D79956F018E2}"/>
                </c:ext>
              </c:extLst>
            </c:dLbl>
            <c:dLbl>
              <c:idx val="8"/>
              <c:layout>
                <c:manualLayout>
                  <c:x val="-7.2634716956676712E-2"/>
                  <c:y val="6.95554669590351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02F-441B-80BF-D79956F018E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02F-441B-80BF-D79956F018E2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Data!$B$913:$B$922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Data!$S$913:$S$922</c:f>
              <c:numCache>
                <c:formatCode>_-* #,##0_-;\-* #,##0_-;_-* "-"??_-;_-@_-</c:formatCode>
                <c:ptCount val="10"/>
                <c:pt idx="0">
                  <c:v>11.66584280771132</c:v>
                </c:pt>
                <c:pt idx="1">
                  <c:v>11.947127605490595</c:v>
                </c:pt>
                <c:pt idx="2">
                  <c:v>1.9635742743312468</c:v>
                </c:pt>
                <c:pt idx="3">
                  <c:v>9.9407504937458846</c:v>
                </c:pt>
                <c:pt idx="4">
                  <c:v>0.73529411764705876</c:v>
                </c:pt>
                <c:pt idx="5">
                  <c:v>2.3199023199023201</c:v>
                </c:pt>
                <c:pt idx="6">
                  <c:v>0.44411547002220575</c:v>
                </c:pt>
                <c:pt idx="7">
                  <c:v>0</c:v>
                </c:pt>
                <c:pt idx="8">
                  <c:v>2.7829313543599254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02F-441B-80BF-D79956F01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000"/>
              <a:t>Case Status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Recovered</c:v>
          </c:tx>
          <c:spPr>
            <a:solidFill>
              <a:schemeClr val="accent1"/>
            </a:solidFill>
            <a:ln w="19050">
              <a:solidFill>
                <a:schemeClr val="accent1"/>
              </a:solidFill>
            </a:ln>
            <a:effectLst/>
          </c:spPr>
          <c:invertIfNegative val="0"/>
          <c:cat>
            <c:strRef>
              <c:f>Data!$B$913:$B$924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Data!$J$913:$J$924</c:f>
              <c:numCache>
                <c:formatCode>_-* #,##0_-;\-* #,##0_-;_-* "-"??_-;_-@_-</c:formatCode>
                <c:ptCount val="12"/>
                <c:pt idx="0">
                  <c:v>2151.0726643598618</c:v>
                </c:pt>
                <c:pt idx="1">
                  <c:v>2998.8137603795967</c:v>
                </c:pt>
                <c:pt idx="2">
                  <c:v>519.52191235059763</c:v>
                </c:pt>
                <c:pt idx="3">
                  <c:v>1735.483870967742</c:v>
                </c:pt>
                <c:pt idx="4">
                  <c:v>222.05882352941174</c:v>
                </c:pt>
                <c:pt idx="5">
                  <c:v>607.69230769230774</c:v>
                </c:pt>
                <c:pt idx="6">
                  <c:v>1034.1968911917099</c:v>
                </c:pt>
                <c:pt idx="7">
                  <c:v>209.84455958549222</c:v>
                </c:pt>
                <c:pt idx="8">
                  <c:v>175.32467532467533</c:v>
                </c:pt>
                <c:pt idx="9">
                  <c:v>492.36641221374043</c:v>
                </c:pt>
                <c:pt idx="10">
                  <c:v>1834.8404255319149</c:v>
                </c:pt>
                <c:pt idx="11">
                  <c:v>3825.9755351681956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68F-49DE-9C79-DD2A7F7CA3C6}"/>
            </c:ext>
          </c:extLst>
        </c:ser>
        <c:ser>
          <c:idx val="2"/>
          <c:order val="1"/>
          <c:tx>
            <c:v>Active</c:v>
          </c:tx>
          <c:spPr>
            <a:solidFill>
              <a:schemeClr val="accent3"/>
            </a:solidFill>
            <a:ln w="19050"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Data!$B$913:$B$924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Data!$Q$913:$Q$924</c:f>
              <c:numCache>
                <c:formatCode>0</c:formatCode>
                <c:ptCount val="12"/>
                <c:pt idx="0">
                  <c:v>130.51903114186851</c:v>
                </c:pt>
                <c:pt idx="1">
                  <c:v>2958.2443653618034</c:v>
                </c:pt>
                <c:pt idx="2">
                  <c:v>32.270916334661358</c:v>
                </c:pt>
                <c:pt idx="3">
                  <c:v>131.79723502304148</c:v>
                </c:pt>
                <c:pt idx="4">
                  <c:v>11.76470588235294</c:v>
                </c:pt>
                <c:pt idx="5">
                  <c:v>60.683760683760688</c:v>
                </c:pt>
                <c:pt idx="6">
                  <c:v>3.1088082901554404</c:v>
                </c:pt>
                <c:pt idx="7">
                  <c:v>1.2953367875647668</c:v>
                </c:pt>
                <c:pt idx="8">
                  <c:v>19.480519480519479</c:v>
                </c:pt>
                <c:pt idx="9">
                  <c:v>0</c:v>
                </c:pt>
                <c:pt idx="10">
                  <c:v>735.42553191489355</c:v>
                </c:pt>
                <c:pt idx="11">
                  <c:v>4711.6697247706425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68F-49DE-9C79-DD2A7F7CA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33193168"/>
        <c:axId val="633191856"/>
      </c:barChart>
      <c:lineChart>
        <c:grouping val="standard"/>
        <c:varyColors val="0"/>
        <c:ser>
          <c:idx val="1"/>
          <c:order val="2"/>
          <c:tx>
            <c:v>Deceased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63500">
                <a:solidFill>
                  <a:srgbClr val="FF0000"/>
                </a:solidFill>
              </a:ln>
              <a:effectLst/>
            </c:spPr>
          </c:marker>
          <c:cat>
            <c:strRef>
              <c:f>Data!$B$913:$B$924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Data!$O$913:$O$924</c:f>
              <c:numCache>
                <c:formatCode>0.00</c:formatCode>
                <c:ptCount val="12"/>
                <c:pt idx="0">
                  <c:v>185.95155709342561</c:v>
                </c:pt>
                <c:pt idx="1">
                  <c:v>660.26097271648871</c:v>
                </c:pt>
                <c:pt idx="2">
                  <c:v>35.258964143426297</c:v>
                </c:pt>
                <c:pt idx="3">
                  <c:v>35.714285714285715</c:v>
                </c:pt>
                <c:pt idx="4">
                  <c:v>5.1470588235294112</c:v>
                </c:pt>
                <c:pt idx="5">
                  <c:v>11.965811965811966</c:v>
                </c:pt>
                <c:pt idx="6">
                  <c:v>65.284974093264253</c:v>
                </c:pt>
                <c:pt idx="7">
                  <c:v>2.5906735751295336</c:v>
                </c:pt>
                <c:pt idx="8">
                  <c:v>0</c:v>
                </c:pt>
                <c:pt idx="9">
                  <c:v>5.7251908396946565</c:v>
                </c:pt>
                <c:pt idx="10">
                  <c:v>230.69148936170211</c:v>
                </c:pt>
                <c:pt idx="11">
                  <c:v>404.35168195718654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568F-49DE-9C79-DD2A7F7CA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175456"/>
        <c:axId val="633193496"/>
      </c:lineChart>
      <c:catAx>
        <c:axId val="6331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191856"/>
        <c:crosses val="autoZero"/>
        <c:auto val="1"/>
        <c:lblAlgn val="ctr"/>
        <c:lblOffset val="100"/>
        <c:noMultiLvlLbl val="0"/>
      </c:catAx>
      <c:valAx>
        <c:axId val="633191856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Recovered / Active Per Ten-Thousand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193168"/>
        <c:crosses val="autoZero"/>
        <c:crossBetween val="between"/>
        <c:dispUnits>
          <c:builtInUnit val="hundreds"/>
        </c:dispUnits>
      </c:valAx>
      <c:valAx>
        <c:axId val="633193496"/>
        <c:scaling>
          <c:orientation val="minMax"/>
          <c:max val="1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Deceased Per Ten-Thousand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175456"/>
        <c:crosses val="max"/>
        <c:crossBetween val="between"/>
        <c:dispUnits>
          <c:builtInUnit val="hundreds"/>
        </c:dispUnits>
      </c:valAx>
      <c:catAx>
        <c:axId val="633175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3193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sq" cmpd="sng" algn="ctr">
      <a:solidFill>
        <a:schemeClr val="tx1">
          <a:lumMod val="15000"/>
          <a:lumOff val="85000"/>
        </a:schemeClr>
      </a:solidFill>
      <a:bevel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Estimated Infection Level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Data!$X$898</c:f>
              <c:strCache>
                <c:ptCount val="1"/>
                <c:pt idx="0">
                  <c:v>Immunity Level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1A-4980-A639-5FEE508EE79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1A-4980-A639-5FEE508EE79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21A-4980-A639-5FEE508EE797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21A-4980-A639-5FEE508EE797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21A-4980-A639-5FEE508EE797}"/>
              </c:ext>
            </c:extLst>
          </c:dPt>
          <c:dPt>
            <c:idx val="6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21A-4980-A639-5FEE508EE797}"/>
              </c:ext>
            </c:extLst>
          </c:dPt>
          <c:dPt>
            <c:idx val="7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21A-4980-A639-5FEE508EE797}"/>
              </c:ext>
            </c:extLst>
          </c:dPt>
          <c:dPt>
            <c:idx val="8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21A-4980-A639-5FEE508EE79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21A-4980-A639-5FEE508EE797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21A-4980-A639-5FEE508EE79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21A-4980-A639-5FEE508EE797}"/>
              </c:ext>
            </c:extLst>
          </c:dPt>
          <c:cat>
            <c:strRef>
              <c:f>Data!$V$899:$V$910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Data!$X$899:$X$910</c:f>
              <c:numCache>
                <c:formatCode>0.0%</c:formatCode>
                <c:ptCount val="12"/>
                <c:pt idx="0">
                  <c:v>2.5611222710982418E-2</c:v>
                </c:pt>
                <c:pt idx="1">
                  <c:v>9.2415001241862207E-2</c:v>
                </c:pt>
                <c:pt idx="2">
                  <c:v>1.5120408962247119E-2</c:v>
                </c:pt>
                <c:pt idx="3">
                  <c:v>1.830629189934627E-2</c:v>
                </c:pt>
                <c:pt idx="4">
                  <c:v>5.161194430100562E-3</c:v>
                </c:pt>
                <c:pt idx="5">
                  <c:v>1.1945324776401919E-2</c:v>
                </c:pt>
                <c:pt idx="6">
                  <c:v>1.9426758989524947E-2</c:v>
                </c:pt>
                <c:pt idx="7">
                  <c:v>3.8301397326518365E-3</c:v>
                </c:pt>
                <c:pt idx="8">
                  <c:v>2.4514445523767742E-3</c:v>
                </c:pt>
                <c:pt idx="9">
                  <c:v>1.4907205460212644E-2</c:v>
                </c:pt>
                <c:pt idx="10">
                  <c:v>3.6536170212765957E-2</c:v>
                </c:pt>
                <c:pt idx="11">
                  <c:v>8.0227481131436393E-2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21A-4980-A639-5FEE508EE797}"/>
            </c:ext>
          </c:extLst>
        </c:ser>
        <c:ser>
          <c:idx val="1"/>
          <c:order val="1"/>
          <c:tx>
            <c:strRef>
              <c:f>Data!$AB$898</c:f>
              <c:strCache>
                <c:ptCount val="1"/>
                <c:pt idx="0">
                  <c:v>Last Month</c:v>
                </c:pt>
              </c:strCache>
            </c:strRef>
          </c:tx>
          <c:spPr>
            <a:pattFill prst="wdUp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21A-4980-A639-5FEE508EE797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621A-4980-A639-5FEE508EE797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621A-4980-A639-5FEE508EE797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030A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621A-4980-A639-5FEE508EE797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621A-4980-A639-5FEE508EE797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621A-4980-A639-5FEE508EE797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621A-4980-A639-5FEE508EE797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621A-4980-A639-5FEE508EE797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621A-4980-A639-5FEE508EE797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621A-4980-A639-5FEE508EE797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621A-4980-A639-5FEE508EE797}"/>
              </c:ext>
            </c:extLst>
          </c:dPt>
          <c:cat>
            <c:strRef>
              <c:f>Data!$V$899:$V$910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Data!$AB$899:$AB$910</c:f>
              <c:numCache>
                <c:formatCode>0.0%</c:formatCode>
                <c:ptCount val="12"/>
                <c:pt idx="0">
                  <c:v>2.3297334801426924E-2</c:v>
                </c:pt>
                <c:pt idx="1">
                  <c:v>6.9036285610009351E-2</c:v>
                </c:pt>
                <c:pt idx="2">
                  <c:v>1.0474165774124343E-2</c:v>
                </c:pt>
                <c:pt idx="3">
                  <c:v>1.5967285027003088E-2</c:v>
                </c:pt>
                <c:pt idx="4">
                  <c:v>4.0915345795945321E-3</c:v>
                </c:pt>
                <c:pt idx="5">
                  <c:v>8.0054038205254682E-3</c:v>
                </c:pt>
                <c:pt idx="6">
                  <c:v>1.4744543951349767E-2</c:v>
                </c:pt>
                <c:pt idx="7">
                  <c:v>2.9937629234130232E-3</c:v>
                </c:pt>
                <c:pt idx="8">
                  <c:v>2.6138592119268086E-3</c:v>
                </c:pt>
                <c:pt idx="9">
                  <c:v>1.2690332766177226E-2</c:v>
                </c:pt>
                <c:pt idx="10">
                  <c:v>3.1035106382978721E-2</c:v>
                </c:pt>
                <c:pt idx="11">
                  <c:v>6.2553023081175496E-2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621A-4980-A639-5FEE508EE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0"/>
        <c:axId val="296235904"/>
        <c:axId val="296237216"/>
      </c:barChart>
      <c:catAx>
        <c:axId val="29623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37216"/>
        <c:crosses val="autoZero"/>
        <c:auto val="1"/>
        <c:lblAlgn val="ctr"/>
        <c:lblOffset val="100"/>
        <c:noMultiLvlLbl val="0"/>
      </c:catAx>
      <c:valAx>
        <c:axId val="296237216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3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Active Cases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E2-4BF6-82FF-EA6EC9AF8F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E2-4BF6-82FF-EA6EC9AF8F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E2-4BF6-82FF-EA6EC9AF8F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E2-4BF6-82FF-EA6EC9AF8F3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1E2-4BF6-82FF-EA6EC9AF8F3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1E2-4BF6-82FF-EA6EC9AF8F3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1E2-4BF6-82FF-EA6EC9AF8F3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1E2-4BF6-82FF-EA6EC9AF8F3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1E2-4BF6-82FF-EA6EC9AF8F3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1E2-4BF6-82FF-EA6EC9AF8F39}"/>
              </c:ext>
            </c:extLst>
          </c:dPt>
          <c:dLbls>
            <c:dLbl>
              <c:idx val="0"/>
              <c:layout>
                <c:manualLayout>
                  <c:x val="2.9276433038462786E-3"/>
                  <c:y val="6.29612754101940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1E2-4BF6-82FF-EA6EC9AF8F39}"/>
                </c:ext>
              </c:extLst>
            </c:dLbl>
            <c:dLbl>
              <c:idx val="2"/>
              <c:layout>
                <c:manualLayout>
                  <c:x val="-2.229926120346068E-2"/>
                  <c:y val="-4.53171201701053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1E2-4BF6-82FF-EA6EC9AF8F39}"/>
                </c:ext>
              </c:extLst>
            </c:dLbl>
            <c:dLbl>
              <c:idx val="3"/>
              <c:layout>
                <c:manualLayout>
                  <c:x val="2.3362739379799748E-2"/>
                  <c:y val="1.46174766128917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1E2-4BF6-82FF-EA6EC9AF8F3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1E2-4BF6-82FF-EA6EC9AF8F3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1E2-4BF6-82FF-EA6EC9AF8F3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1E2-4BF6-82FF-EA6EC9AF8F3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1E2-4BF6-82FF-EA6EC9AF8F3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1E2-4BF6-82FF-EA6EC9AF8F3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1E2-4BF6-82FF-EA6EC9AF8F3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Data!$B$927:$B$936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Data!$H$927:$H$936</c:f>
              <c:numCache>
                <c:formatCode>_-* #,##0_-;\-* #,##0_-;_-* "-"??_-;_-@_-</c:formatCode>
                <c:ptCount val="10"/>
                <c:pt idx="0">
                  <c:v>1456</c:v>
                </c:pt>
                <c:pt idx="1">
                  <c:v>25014</c:v>
                </c:pt>
                <c:pt idx="2">
                  <c:v>187</c:v>
                </c:pt>
                <c:pt idx="3">
                  <c:v>592</c:v>
                </c:pt>
                <c:pt idx="4">
                  <c:v>4</c:v>
                </c:pt>
                <c:pt idx="5">
                  <c:v>43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1E2-4BF6-82FF-EA6EC9AF8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Active Cases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EA-4866-9069-2A6AD8D40B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EA-4866-9069-2A6AD8D40B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EA-4866-9069-2A6AD8D40B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8EA-4866-9069-2A6AD8D40B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8EA-4866-9069-2A6AD8D40BE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8EA-4866-9069-2A6AD8D40BE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8EA-4866-9069-2A6AD8D40BE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8EA-4866-9069-2A6AD8D40BE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8EA-4866-9069-2A6AD8D40BE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8EA-4866-9069-2A6AD8D40BEB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EA-4866-9069-2A6AD8D40BE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EA-4866-9069-2A6AD8D40BE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EA-4866-9069-2A6AD8D40BE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EA-4866-9069-2A6AD8D40BE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EA-4866-9069-2A6AD8D40BE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8EA-4866-9069-2A6AD8D40BE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EA-4866-9069-2A6AD8D40BE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Data!$B$899:$B$908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Data!$H$899:$H$908</c:f>
              <c:numCache>
                <c:formatCode>_-* #,##0_-;\-* #,##0_-;_-* "-"??_-;_-@_-</c:formatCode>
                <c:ptCount val="10"/>
                <c:pt idx="0">
                  <c:v>1892</c:v>
                </c:pt>
                <c:pt idx="1">
                  <c:v>25845</c:v>
                </c:pt>
                <c:pt idx="2">
                  <c:v>159</c:v>
                </c:pt>
                <c:pt idx="3">
                  <c:v>520</c:v>
                </c:pt>
                <c:pt idx="4">
                  <c:v>11</c:v>
                </c:pt>
                <c:pt idx="5">
                  <c:v>103</c:v>
                </c:pt>
                <c:pt idx="6">
                  <c:v>0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8EA-4866-9069-2A6AD8D40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Mortality Rates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52564725705582"/>
          <c:y val="0.13434676155498712"/>
          <c:w val="0.79301659051877793"/>
          <c:h val="0.778639410091887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Data!$Z$898</c:f>
              <c:strCache>
                <c:ptCount val="1"/>
                <c:pt idx="0">
                  <c:v>Deceased / Resolved (OFR)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30-479A-A8F4-11A3BC1A38D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30-479A-A8F4-11A3BC1A38D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30-479A-A8F4-11A3BC1A38D2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30-479A-A8F4-11A3BC1A38D2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D30-479A-A8F4-11A3BC1A38D2}"/>
              </c:ext>
            </c:extLst>
          </c:dPt>
          <c:dPt>
            <c:idx val="6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D30-479A-A8F4-11A3BC1A38D2}"/>
              </c:ext>
            </c:extLst>
          </c:dPt>
          <c:dPt>
            <c:idx val="7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D30-479A-A8F4-11A3BC1A38D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D30-479A-A8F4-11A3BC1A38D2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D30-479A-A8F4-11A3BC1A38D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D30-479A-A8F4-11A3BC1A38D2}"/>
              </c:ext>
            </c:extLst>
          </c:dPt>
          <c:cat>
            <c:strRef>
              <c:f>Data!$V$899:$V$910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Data!$Z$899:$Z$910</c:f>
              <c:numCache>
                <c:formatCode>0%</c:formatCode>
                <c:ptCount val="12"/>
                <c:pt idx="0">
                  <c:v>8.1389639086668297E-2</c:v>
                </c:pt>
                <c:pt idx="1">
                  <c:v>0.18635834986659369</c:v>
                </c:pt>
                <c:pt idx="2">
                  <c:v>6.3994115483633693E-2</c:v>
                </c:pt>
                <c:pt idx="3">
                  <c:v>2.0707274438617723E-2</c:v>
                </c:pt>
                <c:pt idx="4">
                  <c:v>2.2801302931596091E-2</c:v>
                </c:pt>
                <c:pt idx="5">
                  <c:v>1.9287833827893175E-2</c:v>
                </c:pt>
                <c:pt idx="6">
                  <c:v>5.937794533459001E-2</c:v>
                </c:pt>
                <c:pt idx="7">
                  <c:v>1.282051282051282E-2</c:v>
                </c:pt>
                <c:pt idx="8">
                  <c:v>0</c:v>
                </c:pt>
                <c:pt idx="9">
                  <c:v>1.1494252873563218E-2</c:v>
                </c:pt>
                <c:pt idx="10">
                  <c:v>0.11432560512290406</c:v>
                </c:pt>
                <c:pt idx="11">
                  <c:v>0.10670515142116795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D30-479A-A8F4-11A3BC1A38D2}"/>
            </c:ext>
          </c:extLst>
        </c:ser>
        <c:ser>
          <c:idx val="1"/>
          <c:order val="1"/>
          <c:tx>
            <c:strRef>
              <c:f>Data!$AA$898</c:f>
              <c:strCache>
                <c:ptCount val="1"/>
                <c:pt idx="0">
                  <c:v>Deceased / Case (CFR)</c:v>
                </c:pt>
              </c:strCache>
            </c:strRef>
          </c:tx>
          <c:spPr>
            <a:pattFill prst="wdUpDiag">
              <a:fgClr>
                <a:srgbClr val="255E9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1D30-479A-A8F4-11A3BC1A38D2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1D30-479A-A8F4-11A3BC1A38D2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1D30-479A-A8F4-11A3BC1A38D2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1D30-479A-A8F4-11A3BC1A38D2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030A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1D30-479A-A8F4-11A3BC1A38D2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1D30-479A-A8F4-11A3BC1A38D2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1D30-479A-A8F4-11A3BC1A38D2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1D30-479A-A8F4-11A3BC1A38D2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1D30-479A-A8F4-11A3BC1A38D2}"/>
              </c:ext>
            </c:extLst>
          </c:dPt>
          <c:cat>
            <c:strRef>
              <c:f>Data!$V$899:$V$910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Data!$AA$899:$AA$910</c:f>
              <c:numCache>
                <c:formatCode>0%</c:formatCode>
                <c:ptCount val="12"/>
                <c:pt idx="0">
                  <c:v>7.6923076923076927E-2</c:v>
                </c:pt>
                <c:pt idx="1">
                  <c:v>9.8912471177762848E-2</c:v>
                </c:pt>
                <c:pt idx="2">
                  <c:v>6.0458651841556639E-2</c:v>
                </c:pt>
                <c:pt idx="3">
                  <c:v>1.9354027899962298E-2</c:v>
                </c:pt>
                <c:pt idx="4">
                  <c:v>2.20125786163522E-2</c:v>
                </c:pt>
                <c:pt idx="5">
                  <c:v>1.6731016731016731E-2</c:v>
                </c:pt>
                <c:pt idx="6">
                  <c:v>5.937794533459001E-2</c:v>
                </c:pt>
                <c:pt idx="7">
                  <c:v>1.2121212121212121E-2</c:v>
                </c:pt>
                <c:pt idx="8">
                  <c:v>0</c:v>
                </c:pt>
                <c:pt idx="9">
                  <c:v>1.1494252873563218E-2</c:v>
                </c:pt>
                <c:pt idx="10">
                  <c:v>8.2653932758754559E-2</c:v>
                </c:pt>
                <c:pt idx="11">
                  <c:v>4.9550147718179033E-2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D30-479A-A8F4-11A3BC1A3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2047096"/>
        <c:axId val="312063496"/>
      </c:barChart>
      <c:catAx>
        <c:axId val="312047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Algn val="ctr"/>
        <c:lblOffset val="100"/>
        <c:noMultiLvlLbl val="0"/>
      </c:catAx>
      <c:valAx>
        <c:axId val="312063496"/>
        <c:scaling>
          <c:orientation val="minMax"/>
          <c:max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699199637082405"/>
          <c:y val="0.39060000666885786"/>
          <c:w val="0.30421130229091736"/>
          <c:h val="0.24100394891654878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Total Deaths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DC-4B3A-80B6-8AD0C86130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DC-4B3A-80B6-8AD0C86130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DC-4B3A-80B6-8AD0C861307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DC-4B3A-80B6-8AD0C861307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DC-4B3A-80B6-8AD0C861307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FDC-4B3A-80B6-8AD0C861307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FDC-4B3A-80B6-8AD0C861307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FDC-4B3A-80B6-8AD0C861307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FDC-4B3A-80B6-8AD0C861307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FDC-4B3A-80B6-8AD0C8613071}"/>
              </c:ext>
            </c:extLst>
          </c:dPt>
          <c:dLbls>
            <c:dLbl>
              <c:idx val="2"/>
              <c:layout>
                <c:manualLayout>
                  <c:x val="-2.1444784679692817E-2"/>
                  <c:y val="-5.20323408940970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DC-4B3A-80B6-8AD0C8613071}"/>
                </c:ext>
              </c:extLst>
            </c:dLbl>
            <c:dLbl>
              <c:idx val="3"/>
              <c:layout>
                <c:manualLayout>
                  <c:x val="3.7076002073814847E-2"/>
                  <c:y val="-6.08095665257032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DC-4B3A-80B6-8AD0C861307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DC-4B3A-80B6-8AD0C86130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DC-4B3A-80B6-8AD0C861307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FDC-4B3A-80B6-8AD0C861307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FDC-4B3A-80B6-8AD0C8613071}"/>
                </c:ext>
              </c:extLst>
            </c:dLbl>
            <c:dLbl>
              <c:idx val="9"/>
              <c:layout>
                <c:manualLayout>
                  <c:x val="0.10390087813097437"/>
                  <c:y val="0.1282472602317114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Rest</a:t>
                    </a:r>
                  </a:p>
                  <a:p>
                    <a:r>
                      <a:rPr lang="en-US" baseline="0"/>
                      <a:t>&lt;1%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FDC-4B3A-80B6-8AD0C861307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Data!$B$899:$B$908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Data!$F$899:$F$908</c:f>
              <c:numCache>
                <c:formatCode>_-* #,##0_-;\-* #,##0_-;_-* "-"??_-;_-@_-</c:formatCode>
                <c:ptCount val="10"/>
                <c:pt idx="0">
                  <c:v>2652</c:v>
                </c:pt>
                <c:pt idx="1">
                  <c:v>5448</c:v>
                </c:pt>
                <c:pt idx="2">
                  <c:v>174</c:v>
                </c:pt>
                <c:pt idx="3">
                  <c:v>154</c:v>
                </c:pt>
                <c:pt idx="4">
                  <c:v>7</c:v>
                </c:pt>
                <c:pt idx="5">
                  <c:v>13</c:v>
                </c:pt>
                <c:pt idx="6">
                  <c:v>63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FDC-4B3A-80B6-8AD0C8613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Deaths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99-4B5C-997A-44CD871E05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99-4B5C-997A-44CD871E05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99-4B5C-997A-44CD871E05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899-4B5C-997A-44CD871E059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899-4B5C-997A-44CD871E059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899-4B5C-997A-44CD871E059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899-4B5C-997A-44CD871E059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899-4B5C-997A-44CD871E059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899-4B5C-997A-44CD871E059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899-4B5C-997A-44CD871E059E}"/>
              </c:ext>
            </c:extLst>
          </c:dPt>
          <c:dLbls>
            <c:dLbl>
              <c:idx val="3"/>
              <c:layout>
                <c:manualLayout>
                  <c:x val="5.2414050095589901E-3"/>
                  <c:y val="-1.4750134081341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99-4B5C-997A-44CD871E059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99-4B5C-997A-44CD871E059E}"/>
                </c:ext>
              </c:extLst>
            </c:dLbl>
            <c:dLbl>
              <c:idx val="5"/>
              <c:layout>
                <c:manualLayout>
                  <c:x val="3.5715790155859996E-2"/>
                  <c:y val="-2.97632099784995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899-4B5C-997A-44CD871E059E}"/>
                </c:ext>
              </c:extLst>
            </c:dLbl>
            <c:dLbl>
              <c:idx val="6"/>
              <c:layout>
                <c:manualLayout>
                  <c:x val="3.0955737014354688E-2"/>
                  <c:y val="-1.15143834868742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899-4B5C-997A-44CD871E059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899-4B5C-997A-44CD871E059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899-4B5C-997A-44CD871E059E}"/>
                </c:ext>
              </c:extLst>
            </c:dLbl>
            <c:dLbl>
              <c:idx val="9"/>
              <c:layout>
                <c:manualLayout>
                  <c:x val="1.0197498460840544E-2"/>
                  <c:y val="1.43405333826941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899-4B5C-997A-44CD871E05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Data!$B$899:$B$908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Data!$O$899:$O$908</c:f>
              <c:numCache>
                <c:formatCode>0.00</c:formatCode>
                <c:ptCount val="10"/>
                <c:pt idx="0">
                  <c:v>183.52941176470588</c:v>
                </c:pt>
                <c:pt idx="1">
                  <c:v>646.26334519572958</c:v>
                </c:pt>
                <c:pt idx="2">
                  <c:v>34.661354581673308</c:v>
                </c:pt>
                <c:pt idx="3">
                  <c:v>35.483870967741936</c:v>
                </c:pt>
                <c:pt idx="4">
                  <c:v>5.1470588235294112</c:v>
                </c:pt>
                <c:pt idx="5">
                  <c:v>11.111111111111112</c:v>
                </c:pt>
                <c:pt idx="6">
                  <c:v>65.284974093264253</c:v>
                </c:pt>
                <c:pt idx="7">
                  <c:v>2.5906735751295336</c:v>
                </c:pt>
                <c:pt idx="8">
                  <c:v>0</c:v>
                </c:pt>
                <c:pt idx="9">
                  <c:v>5.7251908396946565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899-4B5C-997A-44CD871E0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Active Cases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55-45B3-99FD-5F9E1DB2A0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55-45B3-99FD-5F9E1DB2A0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55-45B3-99FD-5F9E1DB2A0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55-45B3-99FD-5F9E1DB2A0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55-45B3-99FD-5F9E1DB2A01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155-45B3-99FD-5F9E1DB2A01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155-45B3-99FD-5F9E1DB2A01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155-45B3-99FD-5F9E1DB2A01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155-45B3-99FD-5F9E1DB2A01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155-45B3-99FD-5F9E1DB2A018}"/>
              </c:ext>
            </c:extLst>
          </c:dPt>
          <c:dLbls>
            <c:dLbl>
              <c:idx val="0"/>
              <c:layout>
                <c:manualLayout>
                  <c:x val="1.2820226175431776E-2"/>
                  <c:y val="8.6602070310831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155-45B3-99FD-5F9E1DB2A018}"/>
                </c:ext>
              </c:extLst>
            </c:dLbl>
            <c:dLbl>
              <c:idx val="3"/>
              <c:layout>
                <c:manualLayout>
                  <c:x val="1.7460791938044781E-2"/>
                  <c:y val="2.16350329626518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155-45B3-99FD-5F9E1DB2A01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55-45B3-99FD-5F9E1DB2A018}"/>
                </c:ext>
              </c:extLst>
            </c:dLbl>
            <c:dLbl>
              <c:idx val="5"/>
              <c:layout>
                <c:manualLayout>
                  <c:x val="2.5412737759631897E-2"/>
                  <c:y val="4.71107250834152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155-45B3-99FD-5F9E1DB2A01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55-45B3-99FD-5F9E1DB2A01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55-45B3-99FD-5F9E1DB2A01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55-45B3-99FD-5F9E1DB2A01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155-45B3-99FD-5F9E1DB2A01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Data!$B$899:$B$908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Data!$Q$899:$Q$908</c:f>
              <c:numCache>
                <c:formatCode>0</c:formatCode>
                <c:ptCount val="10"/>
                <c:pt idx="0">
                  <c:v>130.93425605536333</c:v>
                </c:pt>
                <c:pt idx="1">
                  <c:v>3065.8362989323846</c:v>
                </c:pt>
                <c:pt idx="2">
                  <c:v>31.673306772908369</c:v>
                </c:pt>
                <c:pt idx="3">
                  <c:v>119.81566820276498</c:v>
                </c:pt>
                <c:pt idx="4">
                  <c:v>8.0882352941176467</c:v>
                </c:pt>
                <c:pt idx="5">
                  <c:v>88.034188034188034</c:v>
                </c:pt>
                <c:pt idx="6">
                  <c:v>0</c:v>
                </c:pt>
                <c:pt idx="7">
                  <c:v>11.658031088082902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155-45B3-99FD-5F9E1DB2A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New Deaths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5C-4334-A61A-7EFF67B6F0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5C-4334-A61A-7EFF67B6F0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E5C-4334-A61A-7EFF67B6F0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E5C-4334-A61A-7EFF67B6F0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E5C-4334-A61A-7EFF67B6F0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E5C-4334-A61A-7EFF67B6F0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E5C-4334-A61A-7EFF67B6F0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E5C-4334-A61A-7EFF67B6F0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E5C-4334-A61A-7EFF67B6F04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E5C-4334-A61A-7EFF67B6F041}"/>
              </c:ext>
            </c:extLst>
          </c:dPt>
          <c:dLbls>
            <c:dLbl>
              <c:idx val="3"/>
              <c:layout>
                <c:manualLayout>
                  <c:x val="-6.0649606299212601E-2"/>
                  <c:y val="0.121147119268319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E5C-4334-A61A-7EFF67B6F04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5C-4334-A61A-7EFF67B6F04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5C-4334-A61A-7EFF67B6F04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E5C-4334-A61A-7EFF67B6F04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E5C-4334-A61A-7EFF67B6F04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E5C-4334-A61A-7EFF67B6F0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Data!$B$899:$B$908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Data!$T$899:$T$908</c:f>
              <c:numCache>
                <c:formatCode>_(* #,##0.00_);_(* \(#,##0.00\);_(* "-"??_);_(@_)</c:formatCode>
                <c:ptCount val="10"/>
                <c:pt idx="0">
                  <c:v>0.56351952545724171</c:v>
                </c:pt>
                <c:pt idx="1">
                  <c:v>0.67785121165904083</c:v>
                </c:pt>
                <c:pt idx="2">
                  <c:v>0.17074558907228229</c:v>
                </c:pt>
                <c:pt idx="3">
                  <c:v>6.583278472679395E-2</c:v>
                </c:pt>
                <c:pt idx="4">
                  <c:v>0</c:v>
                </c:pt>
                <c:pt idx="5">
                  <c:v>0</c:v>
                </c:pt>
                <c:pt idx="6">
                  <c:v>0.14803849000740193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E5C-4334-A61A-7EFF67B6F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New Cases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A-4149-8C44-C5E24051AF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9A-4149-8C44-C5E24051AF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9A-4149-8C44-C5E24051AF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9A-4149-8C44-C5E24051AFDF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9A-4149-8C44-C5E24051AFD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C9A-4149-8C44-C5E24051AFD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C9A-4149-8C44-C5E24051AFD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C9A-4149-8C44-C5E24051AFD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C9A-4149-8C44-C5E24051AFD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C9A-4149-8C44-C5E24051AFDF}"/>
              </c:ext>
            </c:extLst>
          </c:dPt>
          <c:dLbls>
            <c:dLbl>
              <c:idx val="4"/>
              <c:layout>
                <c:manualLayout>
                  <c:x val="-1.0651793525809274E-2"/>
                  <c:y val="0.15279957093970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C9A-4149-8C44-C5E24051AFD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9A-4149-8C44-C5E24051AFDF}"/>
                </c:ext>
              </c:extLst>
            </c:dLbl>
            <c:dLbl>
              <c:idx val="7"/>
              <c:layout>
                <c:manualLayout>
                  <c:x val="-4.4586776190013284E-2"/>
                  <c:y val="1.41226808674232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C9A-4149-8C44-C5E24051AFD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C9A-4149-8C44-C5E24051AFD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C9A-4149-8C44-C5E24051AFDF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Data!$B$899:$B$908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Data!$S$899:$S$908</c:f>
              <c:numCache>
                <c:formatCode>_-* #,##0_-;\-* #,##0_-;_-* "-"??_-;_-@_-</c:formatCode>
                <c:ptCount val="10"/>
                <c:pt idx="0">
                  <c:v>11.616411270390511</c:v>
                </c:pt>
                <c:pt idx="1">
                  <c:v>6.8632435180477884</c:v>
                </c:pt>
                <c:pt idx="2">
                  <c:v>2.5042686397268072</c:v>
                </c:pt>
                <c:pt idx="3">
                  <c:v>9.3482554312047395</c:v>
                </c:pt>
                <c:pt idx="4">
                  <c:v>0.52521008403361347</c:v>
                </c:pt>
                <c:pt idx="5">
                  <c:v>6.2271062271062272</c:v>
                </c:pt>
                <c:pt idx="6">
                  <c:v>0</c:v>
                </c:pt>
                <c:pt idx="7">
                  <c:v>0.1850481125092524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C9A-4149-8C44-C5E24051A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Estimated Infection Level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Data!$X$884</c:f>
              <c:strCache>
                <c:ptCount val="1"/>
                <c:pt idx="0">
                  <c:v>Immunity Level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F1-4740-B408-9A233FDDA25A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F1-4740-B408-9A233FDDA25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F1-4740-B408-9A233FDDA25A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F1-4740-B408-9A233FDDA25A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F1-4740-B408-9A233FDDA25A}"/>
              </c:ext>
            </c:extLst>
          </c:dPt>
          <c:dPt>
            <c:idx val="6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F1-4740-B408-9A233FDDA25A}"/>
              </c:ext>
            </c:extLst>
          </c:dPt>
          <c:dPt>
            <c:idx val="7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7F1-4740-B408-9A233FDDA25A}"/>
              </c:ext>
            </c:extLst>
          </c:dPt>
          <c:dPt>
            <c:idx val="8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7F1-4740-B408-9A233FDDA25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7F1-4740-B408-9A233FDDA25A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7F1-4740-B408-9A233FDDA25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7F1-4740-B408-9A233FDDA25A}"/>
              </c:ext>
            </c:extLst>
          </c:dPt>
          <c:cat>
            <c:strRef>
              <c:f>Data!$V$885:$V$896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Data!$X$885:$X$896</c:f>
              <c:numCache>
                <c:formatCode>0.0%</c:formatCode>
                <c:ptCount val="12"/>
                <c:pt idx="0">
                  <c:v>2.5626507074565392E-2</c:v>
                </c:pt>
                <c:pt idx="1">
                  <c:v>8.6891759198840984E-2</c:v>
                </c:pt>
                <c:pt idx="2">
                  <c:v>1.4088629280051338E-2</c:v>
                </c:pt>
                <c:pt idx="3">
                  <c:v>1.7839494820317475E-2</c:v>
                </c:pt>
                <c:pt idx="4">
                  <c:v>4.9241654605382875E-3</c:v>
                </c:pt>
                <c:pt idx="5">
                  <c:v>1.0855789624122571E-2</c:v>
                </c:pt>
                <c:pt idx="6">
                  <c:v>1.8117280341545281E-2</c:v>
                </c:pt>
                <c:pt idx="7">
                  <c:v>3.6095397514603264E-3</c:v>
                </c:pt>
                <c:pt idx="8">
                  <c:v>2.4797008881605785E-3</c:v>
                </c:pt>
                <c:pt idx="9">
                  <c:v>1.4635623619714514E-2</c:v>
                </c:pt>
                <c:pt idx="10">
                  <c:v>3.5822340425531909E-2</c:v>
                </c:pt>
                <c:pt idx="11">
                  <c:v>7.4367508872495755E-2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7F1-4740-B408-9A233FDDA25A}"/>
            </c:ext>
          </c:extLst>
        </c:ser>
        <c:ser>
          <c:idx val="1"/>
          <c:order val="1"/>
          <c:tx>
            <c:strRef>
              <c:f>Data!$AB$884</c:f>
              <c:strCache>
                <c:ptCount val="1"/>
                <c:pt idx="0">
                  <c:v>Last Month</c:v>
                </c:pt>
              </c:strCache>
            </c:strRef>
          </c:tx>
          <c:spPr>
            <a:pattFill prst="dkHorz">
              <a:fgClr>
                <a:sysClr val="window" lastClr="FFFFFF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7F1-4740-B408-9A233FDDA25A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17F1-4740-B408-9A233FDDA25A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17F1-4740-B408-9A233FDDA25A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17F1-4740-B408-9A233FDDA25A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030A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17F1-4740-B408-9A233FDDA25A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17F1-4740-B408-9A233FDDA25A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17F1-4740-B408-9A233FDDA25A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17F1-4740-B408-9A233FDDA25A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17F1-4740-B408-9A233FDDA25A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17F1-4740-B408-9A233FDDA25A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17F1-4740-B408-9A233FDDA25A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17F1-4740-B408-9A233FDDA25A}"/>
              </c:ext>
            </c:extLst>
          </c:dPt>
          <c:cat>
            <c:strRef>
              <c:f>Data!$V$885:$V$896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Data!$AB$885:$AB$896</c:f>
              <c:numCache>
                <c:formatCode>0.0%</c:formatCode>
                <c:ptCount val="12"/>
                <c:pt idx="0">
                  <c:v>2.1055386961576564E-2</c:v>
                </c:pt>
                <c:pt idx="1">
                  <c:v>6.4347060090916966E-2</c:v>
                </c:pt>
                <c:pt idx="2">
                  <c:v>9.8166823723616625E-3</c:v>
                </c:pt>
                <c:pt idx="3">
                  <c:v>1.5268750437518852E-2</c:v>
                </c:pt>
                <c:pt idx="4">
                  <c:v>4.0667851669695994E-3</c:v>
                </c:pt>
                <c:pt idx="5">
                  <c:v>7.4238328708721478E-3</c:v>
                </c:pt>
                <c:pt idx="6">
                  <c:v>1.3923301740966293E-2</c:v>
                </c:pt>
                <c:pt idx="7">
                  <c:v>2.8548910776151353E-3</c:v>
                </c:pt>
                <c:pt idx="8">
                  <c:v>2.9509548080662185E-3</c:v>
                </c:pt>
                <c:pt idx="9">
                  <c:v>1.2047108396610976E-2</c:v>
                </c:pt>
                <c:pt idx="10">
                  <c:v>2.8419148936170209E-2</c:v>
                </c:pt>
                <c:pt idx="11">
                  <c:v>6.1961074877876748E-2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17F1-4740-B408-9A233FDDA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0"/>
        <c:axId val="296235904"/>
        <c:axId val="296237216"/>
      </c:barChart>
      <c:catAx>
        <c:axId val="29623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37216"/>
        <c:crosses val="autoZero"/>
        <c:auto val="1"/>
        <c:lblAlgn val="ctr"/>
        <c:lblOffset val="100"/>
        <c:noMultiLvlLbl val="0"/>
      </c:catAx>
      <c:valAx>
        <c:axId val="296237216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3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Active Cases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F-4A8C-951D-CD7C57A33E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F-4A8C-951D-CD7C57A33E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F-4A8C-951D-CD7C57A33E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EF-4A8C-951D-CD7C57A33E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EF-4A8C-951D-CD7C57A33E5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4EF-4A8C-951D-CD7C57A33E5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F-4A8C-951D-CD7C57A33E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4EF-4A8C-951D-CD7C57A33E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4EF-4A8C-951D-CD7C57A33E5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4EF-4A8C-951D-CD7C57A33E54}"/>
              </c:ext>
            </c:extLst>
          </c:dPt>
          <c:dLbls>
            <c:dLbl>
              <c:idx val="2"/>
              <c:layout>
                <c:manualLayout>
                  <c:x val="-3.5439146495576938E-2"/>
                  <c:y val="-8.5332925156507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4EF-4A8C-951D-CD7C57A33E54}"/>
                </c:ext>
              </c:extLst>
            </c:dLbl>
            <c:dLbl>
              <c:idx val="3"/>
              <c:layout>
                <c:manualLayout>
                  <c:x val="1.1139545056867891E-2"/>
                  <c:y val="1.033731543050789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4EF-4A8C-951D-CD7C57A33E5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F-4A8C-951D-CD7C57A33E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F-4A8C-951D-CD7C57A33E5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F-4A8C-951D-CD7C57A33E5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F-4A8C-951D-CD7C57A33E5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F-4A8C-951D-CD7C57A33E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F-4A8C-951D-CD7C57A33E5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Data!$B$885:$B$894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Data!$H$885:$H$894</c:f>
              <c:numCache>
                <c:formatCode>_-* #,##0_-;\-* #,##0_-;_-* "-"??_-;_-@_-</c:formatCode>
                <c:ptCount val="10"/>
                <c:pt idx="0">
                  <c:v>2238</c:v>
                </c:pt>
                <c:pt idx="1">
                  <c:v>26065</c:v>
                </c:pt>
                <c:pt idx="2">
                  <c:v>178</c:v>
                </c:pt>
                <c:pt idx="3">
                  <c:v>525</c:v>
                </c:pt>
                <c:pt idx="4">
                  <c:v>13</c:v>
                </c:pt>
                <c:pt idx="5">
                  <c:v>74</c:v>
                </c:pt>
                <c:pt idx="6">
                  <c:v>1</c:v>
                </c:pt>
                <c:pt idx="7">
                  <c:v>27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4EF-4A8C-951D-CD7C57A33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Mortality Rates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52564725705582"/>
          <c:y val="0.13434676155498712"/>
          <c:w val="0.79301659051877793"/>
          <c:h val="0.778639410091887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Data!$Z$884</c:f>
              <c:strCache>
                <c:ptCount val="1"/>
                <c:pt idx="0">
                  <c:v>Deceased / Resolved (OFR)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E3-4DF1-9385-BC2E0C31D7D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E3-4DF1-9385-BC2E0C31D7D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BE3-4DF1-9385-BC2E0C31D7D2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BE3-4DF1-9385-BC2E0C31D7D2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BE3-4DF1-9385-BC2E0C31D7D2}"/>
              </c:ext>
            </c:extLst>
          </c:dPt>
          <c:dPt>
            <c:idx val="6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BE3-4DF1-9385-BC2E0C31D7D2}"/>
              </c:ext>
            </c:extLst>
          </c:dPt>
          <c:dPt>
            <c:idx val="7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BE3-4DF1-9385-BC2E0C31D7D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BE3-4DF1-9385-BC2E0C31D7D2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BE3-4DF1-9385-BC2E0C31D7D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BE3-4DF1-9385-BC2E0C31D7D2}"/>
              </c:ext>
            </c:extLst>
          </c:dPt>
          <c:cat>
            <c:strRef>
              <c:f>Data!$V$885:$V$896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Data!$Z$885:$Z$896</c:f>
              <c:numCache>
                <c:formatCode>0%</c:formatCode>
                <c:ptCount val="12"/>
                <c:pt idx="0">
                  <c:v>8.35399027782249E-2</c:v>
                </c:pt>
                <c:pt idx="1">
                  <c:v>0.1890314236778636</c:v>
                </c:pt>
                <c:pt idx="2">
                  <c:v>6.4318529862174581E-2</c:v>
                </c:pt>
                <c:pt idx="3">
                  <c:v>2.1264689423614997E-2</c:v>
                </c:pt>
                <c:pt idx="4">
                  <c:v>2.3333333333333334E-2</c:v>
                </c:pt>
                <c:pt idx="5">
                  <c:v>1.9938650306748466E-2</c:v>
                </c:pt>
                <c:pt idx="6">
                  <c:v>5.849056603773585E-2</c:v>
                </c:pt>
                <c:pt idx="7">
                  <c:v>1.4598540145985401E-2</c:v>
                </c:pt>
                <c:pt idx="8">
                  <c:v>0</c:v>
                </c:pt>
                <c:pt idx="9">
                  <c:v>1.1494252873563218E-2</c:v>
                </c:pt>
                <c:pt idx="10">
                  <c:v>0.11697126484742273</c:v>
                </c:pt>
                <c:pt idx="11">
                  <c:v>0.11225189741774169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BE3-4DF1-9385-BC2E0C31D7D2}"/>
            </c:ext>
          </c:extLst>
        </c:ser>
        <c:ser>
          <c:idx val="1"/>
          <c:order val="1"/>
          <c:tx>
            <c:strRef>
              <c:f>Data!$AA$884</c:f>
              <c:strCache>
                <c:ptCount val="1"/>
                <c:pt idx="0">
                  <c:v>Deceased / Case (CFR)</c:v>
                </c:pt>
              </c:strCache>
            </c:strRef>
          </c:tx>
          <c:spPr>
            <a:pattFill prst="wdUpDiag">
              <a:fgClr>
                <a:srgbClr val="255E9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FBE3-4DF1-9385-BC2E0C31D7D2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BE3-4DF1-9385-BC2E0C31D7D2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FBE3-4DF1-9385-BC2E0C31D7D2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FBE3-4DF1-9385-BC2E0C31D7D2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030A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FBE3-4DF1-9385-BC2E0C31D7D2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FBE3-4DF1-9385-BC2E0C31D7D2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FBE3-4DF1-9385-BC2E0C31D7D2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FBE3-4DF1-9385-BC2E0C31D7D2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FBE3-4DF1-9385-BC2E0C31D7D2}"/>
              </c:ext>
            </c:extLst>
          </c:dPt>
          <c:cat>
            <c:strRef>
              <c:f>Data!$V$885:$V$896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Data!$AA$885:$AA$896</c:f>
              <c:numCache>
                <c:formatCode>0%</c:formatCode>
                <c:ptCount val="12"/>
                <c:pt idx="0">
                  <c:v>7.7925587820185577E-2</c:v>
                </c:pt>
                <c:pt idx="1">
                  <c:v>9.8913560376047122E-2</c:v>
                </c:pt>
                <c:pt idx="2">
                  <c:v>6.0215053763440864E-2</c:v>
                </c:pt>
                <c:pt idx="3">
                  <c:v>1.9809722403232113E-2</c:v>
                </c:pt>
                <c:pt idx="4">
                  <c:v>2.2364217252396165E-2</c:v>
                </c:pt>
                <c:pt idx="5">
                  <c:v>1.790633608815427E-2</c:v>
                </c:pt>
                <c:pt idx="6">
                  <c:v>5.8435438265786996E-2</c:v>
                </c:pt>
                <c:pt idx="7">
                  <c:v>1.2195121951219513E-2</c:v>
                </c:pt>
                <c:pt idx="8">
                  <c:v>0</c:v>
                </c:pt>
                <c:pt idx="9">
                  <c:v>1.1494252873563218E-2</c:v>
                </c:pt>
                <c:pt idx="10">
                  <c:v>8.325166552826696E-2</c:v>
                </c:pt>
                <c:pt idx="11">
                  <c:v>5.2504861201852111E-2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FBE3-4DF1-9385-BC2E0C31D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2047096"/>
        <c:axId val="312063496"/>
      </c:barChart>
      <c:catAx>
        <c:axId val="312047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Algn val="ctr"/>
        <c:lblOffset val="100"/>
        <c:noMultiLvlLbl val="0"/>
      </c:catAx>
      <c:valAx>
        <c:axId val="312063496"/>
        <c:scaling>
          <c:orientation val="minMax"/>
          <c:max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699199637082405"/>
          <c:y val="0.39060000666885786"/>
          <c:w val="0.35153640517157575"/>
          <c:h val="0.24100394891654878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Mortality Rates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52564725705582"/>
          <c:y val="0.13434676155498712"/>
          <c:w val="0.79301659051877793"/>
          <c:h val="0.778639410091887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Data!$Z$926</c:f>
              <c:strCache>
                <c:ptCount val="1"/>
                <c:pt idx="0">
                  <c:v>Deceased / Resolved (OFR)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5C-46DF-A0FC-C60AE65F7B09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5C-46DF-A0FC-C60AE65F7B0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5C-46DF-A0FC-C60AE65F7B09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5C-46DF-A0FC-C60AE65F7B09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5C-46DF-A0FC-C60AE65F7B09}"/>
              </c:ext>
            </c:extLst>
          </c:dPt>
          <c:dPt>
            <c:idx val="6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D5C-46DF-A0FC-C60AE65F7B09}"/>
              </c:ext>
            </c:extLst>
          </c:dPt>
          <c:dPt>
            <c:idx val="7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D5C-46DF-A0FC-C60AE65F7B0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D5C-46DF-A0FC-C60AE65F7B09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D5C-46DF-A0FC-C60AE65F7B0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D5C-46DF-A0FC-C60AE65F7B09}"/>
              </c:ext>
            </c:extLst>
          </c:dPt>
          <c:cat>
            <c:strRef>
              <c:f>Data!$V$927:$V$938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Data!$Z$927:$Z$938</c:f>
              <c:numCache>
                <c:formatCode>0%</c:formatCode>
                <c:ptCount val="12"/>
                <c:pt idx="0">
                  <c:v>7.7295235926916728E-2</c:v>
                </c:pt>
                <c:pt idx="1">
                  <c:v>0.17902080081546842</c:v>
                </c:pt>
                <c:pt idx="2">
                  <c:v>6.5247732030704816E-2</c:v>
                </c:pt>
                <c:pt idx="3">
                  <c:v>1.999000499750125E-2</c:v>
                </c:pt>
                <c:pt idx="4">
                  <c:v>2.1806853582554516E-2</c:v>
                </c:pt>
                <c:pt idx="5">
                  <c:v>1.9430051813471502E-2</c:v>
                </c:pt>
                <c:pt idx="6">
                  <c:v>5.9266227657572904E-2</c:v>
                </c:pt>
                <c:pt idx="7">
                  <c:v>1.2121212121212121E-2</c:v>
                </c:pt>
                <c:pt idx="8">
                  <c:v>0</c:v>
                </c:pt>
                <c:pt idx="9">
                  <c:v>1.1494252873563218E-2</c:v>
                </c:pt>
                <c:pt idx="10">
                  <c:v>0.10960906558052949</c:v>
                </c:pt>
                <c:pt idx="11">
                  <c:v>8.4865394094991997E-2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D5C-46DF-A0FC-C60AE65F7B09}"/>
            </c:ext>
          </c:extLst>
        </c:ser>
        <c:ser>
          <c:idx val="1"/>
          <c:order val="1"/>
          <c:tx>
            <c:strRef>
              <c:f>Data!$AA$926</c:f>
              <c:strCache>
                <c:ptCount val="1"/>
                <c:pt idx="0">
                  <c:v>Deceased / Case (CFR)</c:v>
                </c:pt>
              </c:strCache>
            </c:strRef>
          </c:tx>
          <c:spPr>
            <a:pattFill prst="wdUpDiag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CD5C-46DF-A0FC-C60AE65F7B09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CD5C-46DF-A0FC-C60AE65F7B09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CD5C-46DF-A0FC-C60AE65F7B09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CD5C-46DF-A0FC-C60AE65F7B09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030A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CD5C-46DF-A0FC-C60AE65F7B09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CD5C-46DF-A0FC-C60AE65F7B09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CD5C-46DF-A0FC-C60AE65F7B09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CD5C-46DF-A0FC-C60AE65F7B09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CD5C-46DF-A0FC-C60AE65F7B09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CD5C-46DF-A0FC-C60AE65F7B09}"/>
              </c:ext>
            </c:extLst>
          </c:dPt>
          <c:cat>
            <c:strRef>
              <c:f>Data!$V$927:$V$938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Data!$AA$927:$AA$938</c:f>
              <c:numCache>
                <c:formatCode>0%</c:formatCode>
                <c:ptCount val="12"/>
                <c:pt idx="0">
                  <c:v>7.4219817456413623E-2</c:v>
                </c:pt>
                <c:pt idx="1">
                  <c:v>9.963302427003741E-2</c:v>
                </c:pt>
                <c:pt idx="2">
                  <c:v>6.1251228300032753E-2</c:v>
                </c:pt>
                <c:pt idx="3">
                  <c:v>1.8613308515588647E-2</c:v>
                </c:pt>
                <c:pt idx="4">
                  <c:v>2.1538461538461538E-2</c:v>
                </c:pt>
                <c:pt idx="5">
                  <c:v>1.8404907975460124E-2</c:v>
                </c:pt>
                <c:pt idx="6">
                  <c:v>5.9099437148217637E-2</c:v>
                </c:pt>
                <c:pt idx="7">
                  <c:v>1.2048192771084338E-2</c:v>
                </c:pt>
                <c:pt idx="8">
                  <c:v>0</c:v>
                </c:pt>
                <c:pt idx="9">
                  <c:v>1.1450381679389313E-2</c:v>
                </c:pt>
                <c:pt idx="10">
                  <c:v>8.1726380116632205E-2</c:v>
                </c:pt>
                <c:pt idx="11">
                  <c:v>4.1137222511201485E-2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D5C-46DF-A0FC-C60AE65F7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2047096"/>
        <c:axId val="312063496"/>
      </c:barChart>
      <c:catAx>
        <c:axId val="312047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Algn val="ctr"/>
        <c:lblOffset val="100"/>
        <c:noMultiLvlLbl val="0"/>
      </c:catAx>
      <c:valAx>
        <c:axId val="312063496"/>
        <c:scaling>
          <c:orientation val="minMax"/>
          <c:max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699199637082405"/>
          <c:y val="0.39060000666885786"/>
          <c:w val="0.30421130229091736"/>
          <c:h val="0.24100394891654878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Total Deaths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18-4698-AE9E-932D5986FD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18-4698-AE9E-932D5986FD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18-4698-AE9E-932D5986FD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A18-4698-AE9E-932D5986FD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A18-4698-AE9E-932D5986FD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A18-4698-AE9E-932D5986FD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A18-4698-AE9E-932D5986FD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A18-4698-AE9E-932D5986FD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A18-4698-AE9E-932D5986FD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A18-4698-AE9E-932D5986FD9F}"/>
              </c:ext>
            </c:extLst>
          </c:dPt>
          <c:dLbls>
            <c:dLbl>
              <c:idx val="2"/>
              <c:layout>
                <c:manualLayout>
                  <c:x val="-2.5504196234730069E-2"/>
                  <c:y val="-5.25980929598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A18-4698-AE9E-932D5986FD9F}"/>
                </c:ext>
              </c:extLst>
            </c:dLbl>
            <c:dLbl>
              <c:idx val="3"/>
              <c:layout>
                <c:manualLayout>
                  <c:x val="3.8623748420336348E-2"/>
                  <c:y val="-7.36018757149027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A18-4698-AE9E-932D5986FD9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18-4698-AE9E-932D5986FD9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18-4698-AE9E-932D5986FD9F}"/>
                </c:ext>
              </c:extLst>
            </c:dLbl>
            <c:dLbl>
              <c:idx val="6"/>
              <c:layout>
                <c:manualLayout>
                  <c:x val="7.1263892939308513E-3"/>
                  <c:y val="2.8230173759925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A18-4698-AE9E-932D5986FD9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18-4698-AE9E-932D5986FD9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A18-4698-AE9E-932D5986FD9F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Rest</a:t>
                    </a:r>
                    <a:r>
                      <a:rPr lang="en-US" baseline="0"/>
                      <a:t>
&lt;1%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A18-4698-AE9E-932D5986FD9F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Data!$B$885:$B$894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Data!$F$885:$F$894</c:f>
              <c:numCache>
                <c:formatCode>_-* #,##0_-;\-* #,##0_-;_-* "-"??_-;_-@_-</c:formatCode>
                <c:ptCount val="10"/>
                <c:pt idx="0">
                  <c:v>2595</c:v>
                </c:pt>
                <c:pt idx="1">
                  <c:v>5408</c:v>
                </c:pt>
                <c:pt idx="2">
                  <c:v>168</c:v>
                </c:pt>
                <c:pt idx="3">
                  <c:v>152</c:v>
                </c:pt>
                <c:pt idx="4">
                  <c:v>7</c:v>
                </c:pt>
                <c:pt idx="5">
                  <c:v>13</c:v>
                </c:pt>
                <c:pt idx="6">
                  <c:v>62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A18-4698-AE9E-932D5986F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Deaths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1C-4112-B179-22D302C819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1C-4112-B179-22D302C819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A1C-4112-B179-22D302C819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A1C-4112-B179-22D302C819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A1C-4112-B179-22D302C819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A1C-4112-B179-22D302C819B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A1C-4112-B179-22D302C819B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A1C-4112-B179-22D302C819B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A1C-4112-B179-22D302C819B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A1C-4112-B179-22D302C819B8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1C-4112-B179-22D302C819B8}"/>
                </c:ext>
              </c:extLst>
            </c:dLbl>
            <c:dLbl>
              <c:idx val="5"/>
              <c:layout>
                <c:manualLayout>
                  <c:x val="0.11727803700463368"/>
                  <c:y val="-1.27507795702752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Rest</a:t>
                    </a:r>
                    <a:r>
                      <a:rPr lang="en-US" baseline="0"/>
                      <a:t>
2%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A1C-4112-B179-22D302C819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A1C-4112-B179-22D302C819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A1C-4112-B179-22D302C819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A1C-4112-B179-22D302C819B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Data!$B$885:$B$894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Data!$O$885:$O$894</c:f>
              <c:numCache>
                <c:formatCode>0.00</c:formatCode>
                <c:ptCount val="10"/>
                <c:pt idx="0">
                  <c:v>179.5847750865052</c:v>
                </c:pt>
                <c:pt idx="1">
                  <c:v>641.51838671411622</c:v>
                </c:pt>
                <c:pt idx="2">
                  <c:v>33.466135458167336</c:v>
                </c:pt>
                <c:pt idx="3">
                  <c:v>35.023041474654377</c:v>
                </c:pt>
                <c:pt idx="4">
                  <c:v>5.1470588235294112</c:v>
                </c:pt>
                <c:pt idx="5">
                  <c:v>11.111111111111112</c:v>
                </c:pt>
                <c:pt idx="6">
                  <c:v>64.248704663212436</c:v>
                </c:pt>
                <c:pt idx="7">
                  <c:v>2.5906735751295336</c:v>
                </c:pt>
                <c:pt idx="8">
                  <c:v>0</c:v>
                </c:pt>
                <c:pt idx="9">
                  <c:v>5.7251908396946565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A1C-4112-B179-22D302C81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Active Cases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B0-4C50-AA62-F9D5EEB068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B0-4C50-AA62-F9D5EEB068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B0-4C50-AA62-F9D5EEB0683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B0-4C50-AA62-F9D5EEB0683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B0-4C50-AA62-F9D5EEB0683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B0-4C50-AA62-F9D5EEB0683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BB0-4C50-AA62-F9D5EEB0683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BB0-4C50-AA62-F9D5EEB0683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BB0-4C50-AA62-F9D5EEB0683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BB0-4C50-AA62-F9D5EEB06832}"/>
              </c:ext>
            </c:extLst>
          </c:dPt>
          <c:dLbls>
            <c:dLbl>
              <c:idx val="0"/>
              <c:layout>
                <c:manualLayout>
                  <c:x val="-8.0894980720017681E-4"/>
                  <c:y val="3.89581049204291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B0-4C50-AA62-F9D5EEB06832}"/>
                </c:ext>
              </c:extLst>
            </c:dLbl>
            <c:dLbl>
              <c:idx val="2"/>
              <c:layout>
                <c:manualLayout>
                  <c:x val="-3.7922944817083047E-2"/>
                  <c:y val="-2.52220054771634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B0-4C50-AA62-F9D5EEB0683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B0-4C50-AA62-F9D5EEB06832}"/>
                </c:ext>
              </c:extLst>
            </c:dLbl>
            <c:dLbl>
              <c:idx val="5"/>
              <c:layout>
                <c:manualLayout>
                  <c:x val="2.7421664884481882E-2"/>
                  <c:y val="-2.84741306070918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BB0-4C50-AA62-F9D5EEB0683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B0-4C50-AA62-F9D5EEB06832}"/>
                </c:ext>
              </c:extLst>
            </c:dLbl>
            <c:dLbl>
              <c:idx val="7"/>
              <c:layout>
                <c:manualLayout>
                  <c:x val="6.9276271021677702E-2"/>
                  <c:y val="2.40696178800434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BB0-4C50-AA62-F9D5EEB0683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B0-4C50-AA62-F9D5EEB0683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B0-4C50-AA62-F9D5EEB06832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Data!$B$885:$B$894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Data!$Q$885:$Q$894</c:f>
              <c:numCache>
                <c:formatCode>0</c:formatCode>
                <c:ptCount val="10"/>
                <c:pt idx="0">
                  <c:v>154.87889273356402</c:v>
                </c:pt>
                <c:pt idx="1">
                  <c:v>3091.9335705812573</c:v>
                </c:pt>
                <c:pt idx="2">
                  <c:v>35.458167330677291</c:v>
                </c:pt>
                <c:pt idx="3">
                  <c:v>120.96774193548387</c:v>
                </c:pt>
                <c:pt idx="4">
                  <c:v>9.5588235294117645</c:v>
                </c:pt>
                <c:pt idx="5">
                  <c:v>63.247863247863251</c:v>
                </c:pt>
                <c:pt idx="6">
                  <c:v>1.0362694300518136</c:v>
                </c:pt>
                <c:pt idx="7">
                  <c:v>34.974093264248701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BB0-4C50-AA62-F9D5EEB06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New Deaths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1D-4F1E-94F3-E673E9369C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1D-4F1E-94F3-E673E9369C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1D-4F1E-94F3-E673E9369C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C1D-4F1E-94F3-E673E9369C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C1D-4F1E-94F3-E673E9369C4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C1D-4F1E-94F3-E673E9369C4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C1D-4F1E-94F3-E673E9369C4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C1D-4F1E-94F3-E673E9369C4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C1D-4F1E-94F3-E673E9369C4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C1D-4F1E-94F3-E673E9369C4A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1D-4F1E-94F3-E673E9369C4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1D-4F1E-94F3-E673E9369C4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1D-4F1E-94F3-E673E9369C4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1D-4F1E-94F3-E673E9369C4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C1D-4F1E-94F3-E673E9369C4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C1D-4F1E-94F3-E673E9369C4A}"/>
                </c:ext>
              </c:extLst>
            </c:dLbl>
            <c:dLbl>
              <c:idx val="9"/>
              <c:layout>
                <c:manualLayout>
                  <c:x val="9.1767360098506209E-2"/>
                  <c:y val="8.0081445515513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Rest</a:t>
                    </a:r>
                    <a:endParaRPr lang="en-US" baseline="0"/>
                  </a:p>
                  <a:p>
                    <a:r>
                      <a:rPr lang="en-US" baseline="0"/>
                      <a:t>&lt;1%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C1D-4F1E-94F3-E673E9369C4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Data!$B$885:$B$894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Data!$T$885:$T$894</c:f>
              <c:numCache>
                <c:formatCode>_(* #,##0.00_);_(* \(#,##0.00\);_(* "-"??_);_(@_)</c:formatCode>
                <c:ptCount val="10"/>
                <c:pt idx="0">
                  <c:v>0.86999505684626788</c:v>
                </c:pt>
                <c:pt idx="1">
                  <c:v>3.6095577020843925</c:v>
                </c:pt>
                <c:pt idx="2">
                  <c:v>0</c:v>
                </c:pt>
                <c:pt idx="3">
                  <c:v>6.583278472679395E-2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C1D-4F1E-94F3-E673E9369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New Cases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CF-4BBC-9C74-577BC00C61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CF-4BBC-9C74-577BC00C61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CF-4BBC-9C74-577BC00C61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CCF-4BBC-9C74-577BC00C61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CCF-4BBC-9C74-577BC00C615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CCF-4BBC-9C74-577BC00C615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CCF-4BBC-9C74-577BC00C61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CCF-4BBC-9C74-577BC00C61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CCF-4BBC-9C74-577BC00C615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CCF-4BBC-9C74-577BC00C6154}"/>
              </c:ext>
            </c:extLst>
          </c:dPt>
          <c:dLbls>
            <c:dLbl>
              <c:idx val="4"/>
              <c:layout>
                <c:manualLayout>
                  <c:x val="-1.3631444217620945E-2"/>
                  <c:y val="6.35054320741552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CCF-4BBC-9C74-577BC00C615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CF-4BBC-9C74-577BC00C615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CF-4BBC-9C74-577BC00C61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CF-4BBC-9C74-577BC00C615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Data!$B$885:$B$894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Data!$S$885:$S$894</c:f>
              <c:numCache>
                <c:formatCode>_-* #,##0_-;\-* #,##0_-;_-* "-"??_-;_-@_-</c:formatCode>
                <c:ptCount val="10"/>
                <c:pt idx="0">
                  <c:v>12.941176470588236</c:v>
                </c:pt>
                <c:pt idx="1">
                  <c:v>14.40433824775462</c:v>
                </c:pt>
                <c:pt idx="2">
                  <c:v>2.3050654524758114</c:v>
                </c:pt>
                <c:pt idx="3">
                  <c:v>9.5457537853851218</c:v>
                </c:pt>
                <c:pt idx="4">
                  <c:v>1.260504201680672</c:v>
                </c:pt>
                <c:pt idx="5">
                  <c:v>7.5702075702075708</c:v>
                </c:pt>
                <c:pt idx="6">
                  <c:v>0</c:v>
                </c:pt>
                <c:pt idx="7">
                  <c:v>1.2953367875647668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CCF-4BBC-9C74-577BC00C6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Estimated Infection Level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Data!$X$870</c:f>
              <c:strCache>
                <c:ptCount val="1"/>
                <c:pt idx="0">
                  <c:v>Immunity Level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2A-4001-8BC3-ED5C0A46429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2A-4001-8BC3-ED5C0A46429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32A-4001-8BC3-ED5C0A464292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32A-4001-8BC3-ED5C0A464292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32A-4001-8BC3-ED5C0A464292}"/>
              </c:ext>
            </c:extLst>
          </c:dPt>
          <c:dPt>
            <c:idx val="6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32A-4001-8BC3-ED5C0A464292}"/>
              </c:ext>
            </c:extLst>
          </c:dPt>
          <c:dPt>
            <c:idx val="7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32A-4001-8BC3-ED5C0A464292}"/>
              </c:ext>
            </c:extLst>
          </c:dPt>
          <c:dPt>
            <c:idx val="8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32A-4001-8BC3-ED5C0A46429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32A-4001-8BC3-ED5C0A464292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32A-4001-8BC3-ED5C0A46429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32A-4001-8BC3-ED5C0A464292}"/>
              </c:ext>
            </c:extLst>
          </c:dPt>
          <c:cat>
            <c:strRef>
              <c:f>Data!$V$871:$V$882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Data!$X$871:$X$882</c:f>
              <c:numCache>
                <c:formatCode>0.0%</c:formatCode>
                <c:ptCount val="12"/>
                <c:pt idx="0">
                  <c:v>2.553126227631327E-2</c:v>
                </c:pt>
                <c:pt idx="1">
                  <c:v>8.1798888992751201E-2</c:v>
                </c:pt>
                <c:pt idx="2">
                  <c:v>1.2826773244915171E-2</c:v>
                </c:pt>
                <c:pt idx="3">
                  <c:v>1.7403698226520898E-2</c:v>
                </c:pt>
                <c:pt idx="4">
                  <c:v>4.5071736662343894E-3</c:v>
                </c:pt>
                <c:pt idx="5">
                  <c:v>9.425594702762486E-3</c:v>
                </c:pt>
                <c:pt idx="6">
                  <c:v>1.7582581635686271E-2</c:v>
                </c:pt>
                <c:pt idx="7">
                  <c:v>3.3560227016229422E-3</c:v>
                </c:pt>
                <c:pt idx="8">
                  <c:v>2.5374237839937441E-3</c:v>
                </c:pt>
                <c:pt idx="9">
                  <c:v>1.4085365021505519E-2</c:v>
                </c:pt>
                <c:pt idx="10">
                  <c:v>3.489716312056737E-2</c:v>
                </c:pt>
                <c:pt idx="11">
                  <c:v>6.9249826164484121E-2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32A-4001-8BC3-ED5C0A464292}"/>
            </c:ext>
          </c:extLst>
        </c:ser>
        <c:ser>
          <c:idx val="1"/>
          <c:order val="1"/>
          <c:tx>
            <c:strRef>
              <c:f>Data!$AB$870</c:f>
              <c:strCache>
                <c:ptCount val="1"/>
                <c:pt idx="0">
                  <c:v>Last Month</c:v>
                </c:pt>
              </c:strCache>
            </c:strRef>
          </c:tx>
          <c:spPr>
            <a:pattFill prst="wdUpDiag">
              <a:fgClr>
                <a:sysClr val="window" lastClr="FFFFFF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132A-4001-8BC3-ED5C0A464292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132A-4001-8BC3-ED5C0A464292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132A-4001-8BC3-ED5C0A464292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132A-4001-8BC3-ED5C0A464292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030A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132A-4001-8BC3-ED5C0A464292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132A-4001-8BC3-ED5C0A464292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132A-4001-8BC3-ED5C0A464292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132A-4001-8BC3-ED5C0A464292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132A-4001-8BC3-ED5C0A464292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132A-4001-8BC3-ED5C0A464292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132A-4001-8BC3-ED5C0A464292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132A-4001-8BC3-ED5C0A464292}"/>
              </c:ext>
            </c:extLst>
          </c:dPt>
          <c:cat>
            <c:strRef>
              <c:f>Data!$V$871:$V$882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Data!$AB$871:$AB$882</c:f>
              <c:numCache>
                <c:formatCode>0.0%</c:formatCode>
                <c:ptCount val="12"/>
                <c:pt idx="0">
                  <c:v>1.9459248714654896E-2</c:v>
                </c:pt>
                <c:pt idx="1">
                  <c:v>5.7314372160993714E-2</c:v>
                </c:pt>
                <c:pt idx="2">
                  <c:v>9.0126415916742426E-3</c:v>
                </c:pt>
                <c:pt idx="3">
                  <c:v>1.4273343177378427E-2</c:v>
                </c:pt>
                <c:pt idx="4">
                  <c:v>3.9516775427327943E-3</c:v>
                </c:pt>
                <c:pt idx="5">
                  <c:v>6.5826623559957663E-3</c:v>
                </c:pt>
                <c:pt idx="6">
                  <c:v>1.2511474678852478E-2</c:v>
                </c:pt>
                <c:pt idx="7">
                  <c:v>2.7700372097851128E-3</c:v>
                </c:pt>
                <c:pt idx="8">
                  <c:v>2.711907333405335E-3</c:v>
                </c:pt>
                <c:pt idx="9">
                  <c:v>1.1191515140083496E-2</c:v>
                </c:pt>
                <c:pt idx="10">
                  <c:v>2.5630851063829788E-2</c:v>
                </c:pt>
                <c:pt idx="11">
                  <c:v>6.1143567550705651E-2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32A-4001-8BC3-ED5C0A464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0"/>
        <c:axId val="296235904"/>
        <c:axId val="296237216"/>
      </c:barChart>
      <c:catAx>
        <c:axId val="29623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37216"/>
        <c:crosses val="autoZero"/>
        <c:auto val="1"/>
        <c:lblAlgn val="ctr"/>
        <c:lblOffset val="100"/>
        <c:noMultiLvlLbl val="0"/>
      </c:catAx>
      <c:valAx>
        <c:axId val="296237216"/>
        <c:scaling>
          <c:orientation val="minMax"/>
          <c:max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3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Active Cases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02-422E-95D6-9338F1FEC6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02-422E-95D6-9338F1FEC6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02-422E-95D6-9338F1FEC6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02-422E-95D6-9338F1FEC6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E02-422E-95D6-9338F1FEC62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E02-422E-95D6-9338F1FEC62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E02-422E-95D6-9338F1FEC62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E02-422E-95D6-9338F1FEC62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E02-422E-95D6-9338F1FEC62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E02-422E-95D6-9338F1FEC621}"/>
              </c:ext>
            </c:extLst>
          </c:dPt>
          <c:dLbls>
            <c:dLbl>
              <c:idx val="2"/>
              <c:layout>
                <c:manualLayout>
                  <c:x val="-1.4983636304721168E-2"/>
                  <c:y val="-4.30121076637572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02-422E-95D6-9338F1FEC621}"/>
                </c:ext>
              </c:extLst>
            </c:dLbl>
            <c:dLbl>
              <c:idx val="3"/>
              <c:layout>
                <c:manualLayout>
                  <c:x val="3.0830174006027024E-2"/>
                  <c:y val="3.2796058720508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02-422E-95D6-9338F1FEC6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02-422E-95D6-9338F1FEC62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02-422E-95D6-9338F1FEC621}"/>
                </c:ext>
              </c:extLst>
            </c:dLbl>
            <c:dLbl>
              <c:idx val="6"/>
              <c:layout>
                <c:manualLayout>
                  <c:x val="7.3014160267003664E-2"/>
                  <c:y val="0.202918701617993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Rest</a:t>
                    </a:r>
                  </a:p>
                  <a:p>
                    <a:r>
                      <a:rPr lang="en-US" baseline="0"/>
                      <a:t>&lt;1%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02-422E-95D6-9338F1FEC62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02-422E-95D6-9338F1FEC62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E02-422E-95D6-9338F1FEC6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E02-422E-95D6-9338F1FEC62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Data!$B$871:$B$880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Data!$H$871:$H$880</c:f>
              <c:numCache>
                <c:formatCode>_-* #,##0_-;\-* #,##0_-;_-* "-"??_-;_-@_-</c:formatCode>
                <c:ptCount val="10"/>
                <c:pt idx="0">
                  <c:v>2947</c:v>
                </c:pt>
                <c:pt idx="1">
                  <c:v>27348</c:v>
                </c:pt>
                <c:pt idx="2">
                  <c:v>187</c:v>
                </c:pt>
                <c:pt idx="3">
                  <c:v>403</c:v>
                </c:pt>
                <c:pt idx="4">
                  <c:v>5</c:v>
                </c:pt>
                <c:pt idx="5">
                  <c:v>24</c:v>
                </c:pt>
                <c:pt idx="6">
                  <c:v>3</c:v>
                </c:pt>
                <c:pt idx="7">
                  <c:v>29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E02-422E-95D6-9338F1FEC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Resolved / Cases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Data!$Y$688</c:f>
              <c:strCache>
                <c:ptCount val="1"/>
                <c:pt idx="0">
                  <c:v>Recovered /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B4-43AF-9C0E-DD535C02592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B4-43AF-9C0E-DD535C02592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B4-43AF-9C0E-DD535C025925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B4-43AF-9C0E-DD535C025925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B4-43AF-9C0E-DD535C02592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B4-43AF-9C0E-DD535C02592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B4-43AF-9C0E-DD535C02592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5B4-43AF-9C0E-DD535C02592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5B4-43AF-9C0E-DD535C025925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5B4-43AF-9C0E-DD535C02592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5B4-43AF-9C0E-DD535C025925}"/>
              </c:ext>
            </c:extLst>
          </c:dPt>
          <c:cat>
            <c:strRef>
              <c:f>Data!$V$689:$V$700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Data!$Y$857:$Y$868</c:f>
              <c:numCache>
                <c:formatCode>0%</c:formatCode>
                <c:ptCount val="12"/>
                <c:pt idx="0">
                  <c:v>0.87259121912456128</c:v>
                </c:pt>
                <c:pt idx="1">
                  <c:v>0.44432198236546061</c:v>
                </c:pt>
                <c:pt idx="2">
                  <c:v>0.92667173252279633</c:v>
                </c:pt>
                <c:pt idx="3">
                  <c:v>0.95292799103390302</c:v>
                </c:pt>
                <c:pt idx="4">
                  <c:v>0.97</c:v>
                </c:pt>
                <c:pt idx="5">
                  <c:v>0.95692307692307688</c:v>
                </c:pt>
                <c:pt idx="6">
                  <c:v>0.99716981132075466</c:v>
                </c:pt>
                <c:pt idx="7">
                  <c:v>0.91176470588235292</c:v>
                </c:pt>
                <c:pt idx="8">
                  <c:v>1</c:v>
                </c:pt>
                <c:pt idx="9">
                  <c:v>0.9923371647509579</c:v>
                </c:pt>
                <c:pt idx="10">
                  <c:v>0.64579147248493007</c:v>
                </c:pt>
                <c:pt idx="11">
                  <c:v>0.43317255219163753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5B4-43AF-9C0E-DD535C025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2047096"/>
        <c:axId val="312063496"/>
      </c:barChart>
      <c:catAx>
        <c:axId val="312047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Algn val="ctr"/>
        <c:lblOffset val="100"/>
        <c:noMultiLvlLbl val="0"/>
      </c:catAx>
      <c:valAx>
        <c:axId val="3120634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Mortality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52564725705582"/>
          <c:y val="0.13434676155498712"/>
          <c:w val="0.79301659051877793"/>
          <c:h val="0.778639410091887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Data!$Z$870</c:f>
              <c:strCache>
                <c:ptCount val="1"/>
                <c:pt idx="0">
                  <c:v>Deceased / Resolved (OFR)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0B-4D45-ACD6-8951B8199889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0B-4D45-ACD6-8951B81998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0B-4D45-ACD6-8951B8199889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0B-4D45-ACD6-8951B8199889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0B-4D45-ACD6-8951B8199889}"/>
              </c:ext>
            </c:extLst>
          </c:dPt>
          <c:dPt>
            <c:idx val="6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50B-4D45-ACD6-8951B8199889}"/>
              </c:ext>
            </c:extLst>
          </c:dPt>
          <c:dPt>
            <c:idx val="7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C50B-4D45-ACD6-8951B819988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50B-4D45-ACD6-8951B8199889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50B-4D45-ACD6-8951B819988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50B-4D45-ACD6-8951B8199889}"/>
              </c:ext>
            </c:extLst>
          </c:dPt>
          <c:cat>
            <c:strRef>
              <c:f>Data!$V$871:$V$882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Data!$Z$871:$Z$882</c:f>
              <c:numCache>
                <c:formatCode>0%</c:formatCode>
                <c:ptCount val="12"/>
                <c:pt idx="0">
                  <c:v>8.6314339817524524E-2</c:v>
                </c:pt>
                <c:pt idx="1">
                  <c:v>0.1962154403988518</c:v>
                </c:pt>
                <c:pt idx="2">
                  <c:v>6.6613798572561458E-2</c:v>
                </c:pt>
                <c:pt idx="3">
                  <c:v>2.148997134670487E-2</c:v>
                </c:pt>
                <c:pt idx="4">
                  <c:v>2.364864864864865E-2</c:v>
                </c:pt>
                <c:pt idx="5">
                  <c:v>2.0312500000000001E-2</c:v>
                </c:pt>
                <c:pt idx="6">
                  <c:v>5.8601134215500943E-2</c:v>
                </c:pt>
                <c:pt idx="7">
                  <c:v>1.5625E-2</c:v>
                </c:pt>
                <c:pt idx="8">
                  <c:v>0</c:v>
                </c:pt>
                <c:pt idx="9">
                  <c:v>1.1583011583011582E-2</c:v>
                </c:pt>
                <c:pt idx="10">
                  <c:v>0.12017313707178963</c:v>
                </c:pt>
                <c:pt idx="11">
                  <c:v>0.12161702374851922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50B-4D45-ACD6-8951B8199889}"/>
            </c:ext>
          </c:extLst>
        </c:ser>
        <c:ser>
          <c:idx val="1"/>
          <c:order val="1"/>
          <c:tx>
            <c:strRef>
              <c:f>Data!$AA$870</c:f>
              <c:strCache>
                <c:ptCount val="1"/>
                <c:pt idx="0">
                  <c:v>Deceased / Case (CFR)</c:v>
                </c:pt>
              </c:strCache>
            </c:strRef>
          </c:tx>
          <c:spPr>
            <a:pattFill prst="wdUpDiag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C50B-4D45-ACD6-8951B8199889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C50B-4D45-ACD6-8951B8199889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C50B-4D45-ACD6-8951B8199889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C50B-4D45-ACD6-8951B8199889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030A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C50B-4D45-ACD6-8951B8199889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C50B-4D45-ACD6-8951B8199889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C50B-4D45-ACD6-8951B8199889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rgbClr val="255E9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C50B-4D45-ACD6-8951B8199889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C50B-4D45-ACD6-8951B8199889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50B-4D45-ACD6-8951B8199889}"/>
              </c:ext>
            </c:extLst>
          </c:dPt>
          <c:cat>
            <c:strRef>
              <c:f>Data!$V$871:$V$882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Data!$AA$871:$AA$882</c:f>
              <c:numCache>
                <c:formatCode>0%</c:formatCode>
                <c:ptCount val="12"/>
                <c:pt idx="0">
                  <c:v>7.8363340835208808E-2</c:v>
                </c:pt>
                <c:pt idx="1">
                  <c:v>9.651828180737218E-2</c:v>
                </c:pt>
                <c:pt idx="2">
                  <c:v>6.2015503875968991E-2</c:v>
                </c:pt>
                <c:pt idx="3">
                  <c:v>2.031694433157253E-2</c:v>
                </c:pt>
                <c:pt idx="4">
                  <c:v>2.3255813953488372E-2</c:v>
                </c:pt>
                <c:pt idx="5">
                  <c:v>1.9578313253012049E-2</c:v>
                </c:pt>
                <c:pt idx="6">
                  <c:v>5.8435438265786996E-2</c:v>
                </c:pt>
                <c:pt idx="7">
                  <c:v>1.2738853503184714E-2</c:v>
                </c:pt>
                <c:pt idx="8">
                  <c:v>0</c:v>
                </c:pt>
                <c:pt idx="9">
                  <c:v>1.1494252873563218E-2</c:v>
                </c:pt>
                <c:pt idx="10">
                  <c:v>8.2379839447210654E-2</c:v>
                </c:pt>
                <c:pt idx="11">
                  <c:v>5.4914177423177481E-2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50B-4D45-ACD6-8951B8199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2047096"/>
        <c:axId val="312063496"/>
      </c:barChart>
      <c:catAx>
        <c:axId val="312047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Algn val="ctr"/>
        <c:lblOffset val="100"/>
        <c:noMultiLvlLbl val="0"/>
      </c:catAx>
      <c:valAx>
        <c:axId val="312063496"/>
        <c:scaling>
          <c:orientation val="minMax"/>
          <c:max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699199637082405"/>
          <c:y val="0.39060000666885786"/>
          <c:w val="0.35153640517157575"/>
          <c:h val="0.24100394891654878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New Cases Per Day (Canada and BC)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  <a:effectLst/>
          </c:spPr>
          <c:cat>
            <c:strRef>
              <c:f>'Graph Data'!$B$126:$B$198</c:f>
              <c:strCache>
                <c:ptCount val="73"/>
                <c:pt idx="0">
                  <c:v>Canada</c:v>
                </c:pt>
                <c:pt idx="1">
                  <c:v>27/03/2020</c:v>
                </c:pt>
                <c:pt idx="2">
                  <c:v>28/03/2020</c:v>
                </c:pt>
                <c:pt idx="3">
                  <c:v>29/03/2020</c:v>
                </c:pt>
                <c:pt idx="4">
                  <c:v>30/03/2020</c:v>
                </c:pt>
                <c:pt idx="5">
                  <c:v>31/03/2020</c:v>
                </c:pt>
                <c:pt idx="6">
                  <c:v>01/04/2020</c:v>
                </c:pt>
                <c:pt idx="7">
                  <c:v>02/04/2020</c:v>
                </c:pt>
                <c:pt idx="8">
                  <c:v>03/04/2020</c:v>
                </c:pt>
                <c:pt idx="9">
                  <c:v>04/04/2020</c:v>
                </c:pt>
                <c:pt idx="10">
                  <c:v>05/04/2020</c:v>
                </c:pt>
                <c:pt idx="11">
                  <c:v>06/04/2020</c:v>
                </c:pt>
                <c:pt idx="12">
                  <c:v>07/04/2020</c:v>
                </c:pt>
                <c:pt idx="13">
                  <c:v>08/04/2020</c:v>
                </c:pt>
                <c:pt idx="14">
                  <c:v>09/04/2020</c:v>
                </c:pt>
                <c:pt idx="15">
                  <c:v>10/04/2020</c:v>
                </c:pt>
                <c:pt idx="16">
                  <c:v>11/04/2020</c:v>
                </c:pt>
                <c:pt idx="17">
                  <c:v>12/04/2020</c:v>
                </c:pt>
                <c:pt idx="18">
                  <c:v>13/04/2020</c:v>
                </c:pt>
                <c:pt idx="19">
                  <c:v>14/04/2020</c:v>
                </c:pt>
                <c:pt idx="20">
                  <c:v>15/04/2020</c:v>
                </c:pt>
                <c:pt idx="21">
                  <c:v>16/04/2020</c:v>
                </c:pt>
                <c:pt idx="22">
                  <c:v>17/04/2020</c:v>
                </c:pt>
                <c:pt idx="23">
                  <c:v>18/04/2020</c:v>
                </c:pt>
                <c:pt idx="24">
                  <c:v>19/04/2020</c:v>
                </c:pt>
                <c:pt idx="25">
                  <c:v>20/04/2020</c:v>
                </c:pt>
                <c:pt idx="26">
                  <c:v>21/04/2020</c:v>
                </c:pt>
                <c:pt idx="27">
                  <c:v>22/04/2020</c:v>
                </c:pt>
                <c:pt idx="28">
                  <c:v>23/04/2020</c:v>
                </c:pt>
                <c:pt idx="29">
                  <c:v>24/04/2020</c:v>
                </c:pt>
                <c:pt idx="30">
                  <c:v>25/04/2020</c:v>
                </c:pt>
                <c:pt idx="31">
                  <c:v>26/04/2020</c:v>
                </c:pt>
                <c:pt idx="32">
                  <c:v>27/04/2020</c:v>
                </c:pt>
                <c:pt idx="33">
                  <c:v>28/04/2020</c:v>
                </c:pt>
                <c:pt idx="34">
                  <c:v>29/04/2020</c:v>
                </c:pt>
                <c:pt idx="35">
                  <c:v>30/04/2020</c:v>
                </c:pt>
                <c:pt idx="36">
                  <c:v>01/05/2020</c:v>
                </c:pt>
                <c:pt idx="37">
                  <c:v>02/05/2020</c:v>
                </c:pt>
                <c:pt idx="38">
                  <c:v>03/05/2020</c:v>
                </c:pt>
                <c:pt idx="39">
                  <c:v>04/05/2020</c:v>
                </c:pt>
                <c:pt idx="40">
                  <c:v>05/05/2020</c:v>
                </c:pt>
                <c:pt idx="41">
                  <c:v>06/05/2020</c:v>
                </c:pt>
                <c:pt idx="42">
                  <c:v>07/05/2020</c:v>
                </c:pt>
                <c:pt idx="43">
                  <c:v>08/05/2020</c:v>
                </c:pt>
                <c:pt idx="44">
                  <c:v>09/05/2020</c:v>
                </c:pt>
                <c:pt idx="45">
                  <c:v>10/05/2020</c:v>
                </c:pt>
                <c:pt idx="46">
                  <c:v>11/05/2020</c:v>
                </c:pt>
                <c:pt idx="47">
                  <c:v>12/05/2020</c:v>
                </c:pt>
                <c:pt idx="48">
                  <c:v>13/05/2020</c:v>
                </c:pt>
                <c:pt idx="49">
                  <c:v>14/05/2020</c:v>
                </c:pt>
                <c:pt idx="50">
                  <c:v>15/05/2020</c:v>
                </c:pt>
                <c:pt idx="51">
                  <c:v>16/05/2020</c:v>
                </c:pt>
                <c:pt idx="52">
                  <c:v>17/05/2020</c:v>
                </c:pt>
                <c:pt idx="53">
                  <c:v>18/05/2020</c:v>
                </c:pt>
                <c:pt idx="54">
                  <c:v>19/05/2020</c:v>
                </c:pt>
                <c:pt idx="55">
                  <c:v>20/05/2020</c:v>
                </c:pt>
                <c:pt idx="56">
                  <c:v>21/05/2020</c:v>
                </c:pt>
                <c:pt idx="57">
                  <c:v>22/05/2020</c:v>
                </c:pt>
                <c:pt idx="58">
                  <c:v>23/05/2020</c:v>
                </c:pt>
                <c:pt idx="59">
                  <c:v>24/05/2020</c:v>
                </c:pt>
                <c:pt idx="60">
                  <c:v>25/05/2020</c:v>
                </c:pt>
                <c:pt idx="61">
                  <c:v>26/05/2020</c:v>
                </c:pt>
                <c:pt idx="62">
                  <c:v>27/05/2020</c:v>
                </c:pt>
                <c:pt idx="63">
                  <c:v>28/05/2020</c:v>
                </c:pt>
                <c:pt idx="64">
                  <c:v>29/05/2020</c:v>
                </c:pt>
                <c:pt idx="65">
                  <c:v>30/05/2020</c:v>
                </c:pt>
                <c:pt idx="66">
                  <c:v>31/05/2020</c:v>
                </c:pt>
                <c:pt idx="67">
                  <c:v>01/06/2020</c:v>
                </c:pt>
                <c:pt idx="68">
                  <c:v>02/06/2020</c:v>
                </c:pt>
                <c:pt idx="69">
                  <c:v>03/06/2020</c:v>
                </c:pt>
                <c:pt idx="70">
                  <c:v>04/06/2020</c:v>
                </c:pt>
                <c:pt idx="71">
                  <c:v>05/06/2020</c:v>
                </c:pt>
                <c:pt idx="72">
                  <c:v>06/06/2020</c:v>
                </c:pt>
              </c:strCache>
            </c:strRef>
          </c:cat>
          <c:val>
            <c:numRef>
              <c:f>'Graph Data'!$G$126:$G$198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1141</c:v>
                </c:pt>
                <c:pt idx="3">
                  <c:v>785</c:v>
                </c:pt>
                <c:pt idx="4">
                  <c:v>785</c:v>
                </c:pt>
                <c:pt idx="5">
                  <c:v>1143</c:v>
                </c:pt>
                <c:pt idx="6">
                  <c:v>1141</c:v>
                </c:pt>
                <c:pt idx="7">
                  <c:v>1551</c:v>
                </c:pt>
                <c:pt idx="8">
                  <c:v>1159</c:v>
                </c:pt>
                <c:pt idx="9">
                  <c:v>1576</c:v>
                </c:pt>
                <c:pt idx="10">
                  <c:v>1270</c:v>
                </c:pt>
                <c:pt idx="11">
                  <c:v>1270</c:v>
                </c:pt>
                <c:pt idx="12">
                  <c:v>1339</c:v>
                </c:pt>
                <c:pt idx="13">
                  <c:v>1393</c:v>
                </c:pt>
                <c:pt idx="14">
                  <c:v>1475</c:v>
                </c:pt>
                <c:pt idx="15">
                  <c:v>1383</c:v>
                </c:pt>
                <c:pt idx="16">
                  <c:v>1170</c:v>
                </c:pt>
                <c:pt idx="17">
                  <c:v>1181</c:v>
                </c:pt>
                <c:pt idx="18">
                  <c:v>1181</c:v>
                </c:pt>
                <c:pt idx="19">
                  <c:v>1383</c:v>
                </c:pt>
                <c:pt idx="20">
                  <c:v>1334</c:v>
                </c:pt>
                <c:pt idx="21">
                  <c:v>1709</c:v>
                </c:pt>
                <c:pt idx="22">
                  <c:v>1821</c:v>
                </c:pt>
                <c:pt idx="23">
                  <c:v>1456</c:v>
                </c:pt>
                <c:pt idx="24">
                  <c:v>1724</c:v>
                </c:pt>
                <c:pt idx="25">
                  <c:v>1724</c:v>
                </c:pt>
                <c:pt idx="26">
                  <c:v>1611</c:v>
                </c:pt>
                <c:pt idx="27">
                  <c:v>1748</c:v>
                </c:pt>
                <c:pt idx="28">
                  <c:v>1920</c:v>
                </c:pt>
                <c:pt idx="29">
                  <c:v>1778</c:v>
                </c:pt>
                <c:pt idx="30">
                  <c:v>1457</c:v>
                </c:pt>
                <c:pt idx="31">
                  <c:v>1577.5</c:v>
                </c:pt>
                <c:pt idx="32">
                  <c:v>1577.5</c:v>
                </c:pt>
                <c:pt idx="33">
                  <c:v>1526</c:v>
                </c:pt>
                <c:pt idx="34">
                  <c:v>1571</c:v>
                </c:pt>
                <c:pt idx="35">
                  <c:v>1639</c:v>
                </c:pt>
                <c:pt idx="36">
                  <c:v>1825</c:v>
                </c:pt>
                <c:pt idx="37">
                  <c:v>1653</c:v>
                </c:pt>
                <c:pt idx="38">
                  <c:v>2029</c:v>
                </c:pt>
                <c:pt idx="39">
                  <c:v>2029</c:v>
                </c:pt>
                <c:pt idx="40">
                  <c:v>1274</c:v>
                </c:pt>
                <c:pt idx="41">
                  <c:v>1380</c:v>
                </c:pt>
                <c:pt idx="42">
                  <c:v>1409</c:v>
                </c:pt>
                <c:pt idx="43">
                  <c:v>1599</c:v>
                </c:pt>
                <c:pt idx="44">
                  <c:v>1268</c:v>
                </c:pt>
                <c:pt idx="45">
                  <c:v>1139.5</c:v>
                </c:pt>
                <c:pt idx="46">
                  <c:v>1139.5</c:v>
                </c:pt>
                <c:pt idx="47">
                  <c:v>1176</c:v>
                </c:pt>
                <c:pt idx="48">
                  <c:v>1122</c:v>
                </c:pt>
                <c:pt idx="49">
                  <c:v>1209</c:v>
                </c:pt>
                <c:pt idx="50">
                  <c:v>1113</c:v>
                </c:pt>
                <c:pt idx="51">
                  <c:v>1263</c:v>
                </c:pt>
                <c:pt idx="52">
                  <c:v>1104</c:v>
                </c:pt>
                <c:pt idx="53">
                  <c:v>1104</c:v>
                </c:pt>
                <c:pt idx="54">
                  <c:v>1040</c:v>
                </c:pt>
                <c:pt idx="55">
                  <c:v>1030</c:v>
                </c:pt>
                <c:pt idx="56">
                  <c:v>1182</c:v>
                </c:pt>
                <c:pt idx="57">
                  <c:v>1156</c:v>
                </c:pt>
                <c:pt idx="58">
                  <c:v>1110</c:v>
                </c:pt>
                <c:pt idx="59">
                  <c:v>1060</c:v>
                </c:pt>
                <c:pt idx="60">
                  <c:v>1060</c:v>
                </c:pt>
                <c:pt idx="61">
                  <c:v>937</c:v>
                </c:pt>
                <c:pt idx="62">
                  <c:v>872</c:v>
                </c:pt>
                <c:pt idx="63">
                  <c:v>993</c:v>
                </c:pt>
                <c:pt idx="64">
                  <c:v>906</c:v>
                </c:pt>
                <c:pt idx="65">
                  <c:v>772</c:v>
                </c:pt>
                <c:pt idx="66">
                  <c:v>757.5</c:v>
                </c:pt>
                <c:pt idx="67">
                  <c:v>757.5</c:v>
                </c:pt>
                <c:pt idx="68">
                  <c:v>705</c:v>
                </c:pt>
                <c:pt idx="69">
                  <c:v>675</c:v>
                </c:pt>
                <c:pt idx="70">
                  <c:v>641</c:v>
                </c:pt>
                <c:pt idx="71">
                  <c:v>609</c:v>
                </c:pt>
                <c:pt idx="72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AF-47C9-AA54-7487AAEE8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047096"/>
        <c:axId val="312063496"/>
      </c:areaChart>
      <c:areaChart>
        <c:grouping val="standard"/>
        <c:varyColors val="0"/>
        <c:ser>
          <c:idx val="1"/>
          <c:order val="1"/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cat>
            <c:strRef>
              <c:f>'Graph Data'!$B$126:$B$198</c:f>
              <c:strCache>
                <c:ptCount val="73"/>
                <c:pt idx="0">
                  <c:v>Canada</c:v>
                </c:pt>
                <c:pt idx="1">
                  <c:v>27/03/2020</c:v>
                </c:pt>
                <c:pt idx="2">
                  <c:v>28/03/2020</c:v>
                </c:pt>
                <c:pt idx="3">
                  <c:v>29/03/2020</c:v>
                </c:pt>
                <c:pt idx="4">
                  <c:v>30/03/2020</c:v>
                </c:pt>
                <c:pt idx="5">
                  <c:v>31/03/2020</c:v>
                </c:pt>
                <c:pt idx="6">
                  <c:v>01/04/2020</c:v>
                </c:pt>
                <c:pt idx="7">
                  <c:v>02/04/2020</c:v>
                </c:pt>
                <c:pt idx="8">
                  <c:v>03/04/2020</c:v>
                </c:pt>
                <c:pt idx="9">
                  <c:v>04/04/2020</c:v>
                </c:pt>
                <c:pt idx="10">
                  <c:v>05/04/2020</c:v>
                </c:pt>
                <c:pt idx="11">
                  <c:v>06/04/2020</c:v>
                </c:pt>
                <c:pt idx="12">
                  <c:v>07/04/2020</c:v>
                </c:pt>
                <c:pt idx="13">
                  <c:v>08/04/2020</c:v>
                </c:pt>
                <c:pt idx="14">
                  <c:v>09/04/2020</c:v>
                </c:pt>
                <c:pt idx="15">
                  <c:v>10/04/2020</c:v>
                </c:pt>
                <c:pt idx="16">
                  <c:v>11/04/2020</c:v>
                </c:pt>
                <c:pt idx="17">
                  <c:v>12/04/2020</c:v>
                </c:pt>
                <c:pt idx="18">
                  <c:v>13/04/2020</c:v>
                </c:pt>
                <c:pt idx="19">
                  <c:v>14/04/2020</c:v>
                </c:pt>
                <c:pt idx="20">
                  <c:v>15/04/2020</c:v>
                </c:pt>
                <c:pt idx="21">
                  <c:v>16/04/2020</c:v>
                </c:pt>
                <c:pt idx="22">
                  <c:v>17/04/2020</c:v>
                </c:pt>
                <c:pt idx="23">
                  <c:v>18/04/2020</c:v>
                </c:pt>
                <c:pt idx="24">
                  <c:v>19/04/2020</c:v>
                </c:pt>
                <c:pt idx="25">
                  <c:v>20/04/2020</c:v>
                </c:pt>
                <c:pt idx="26">
                  <c:v>21/04/2020</c:v>
                </c:pt>
                <c:pt idx="27">
                  <c:v>22/04/2020</c:v>
                </c:pt>
                <c:pt idx="28">
                  <c:v>23/04/2020</c:v>
                </c:pt>
                <c:pt idx="29">
                  <c:v>24/04/2020</c:v>
                </c:pt>
                <c:pt idx="30">
                  <c:v>25/04/2020</c:v>
                </c:pt>
                <c:pt idx="31">
                  <c:v>26/04/2020</c:v>
                </c:pt>
                <c:pt idx="32">
                  <c:v>27/04/2020</c:v>
                </c:pt>
                <c:pt idx="33">
                  <c:v>28/04/2020</c:v>
                </c:pt>
                <c:pt idx="34">
                  <c:v>29/04/2020</c:v>
                </c:pt>
                <c:pt idx="35">
                  <c:v>30/04/2020</c:v>
                </c:pt>
                <c:pt idx="36">
                  <c:v>01/05/2020</c:v>
                </c:pt>
                <c:pt idx="37">
                  <c:v>02/05/2020</c:v>
                </c:pt>
                <c:pt idx="38">
                  <c:v>03/05/2020</c:v>
                </c:pt>
                <c:pt idx="39">
                  <c:v>04/05/2020</c:v>
                </c:pt>
                <c:pt idx="40">
                  <c:v>05/05/2020</c:v>
                </c:pt>
                <c:pt idx="41">
                  <c:v>06/05/2020</c:v>
                </c:pt>
                <c:pt idx="42">
                  <c:v>07/05/2020</c:v>
                </c:pt>
                <c:pt idx="43">
                  <c:v>08/05/2020</c:v>
                </c:pt>
                <c:pt idx="44">
                  <c:v>09/05/2020</c:v>
                </c:pt>
                <c:pt idx="45">
                  <c:v>10/05/2020</c:v>
                </c:pt>
                <c:pt idx="46">
                  <c:v>11/05/2020</c:v>
                </c:pt>
                <c:pt idx="47">
                  <c:v>12/05/2020</c:v>
                </c:pt>
                <c:pt idx="48">
                  <c:v>13/05/2020</c:v>
                </c:pt>
                <c:pt idx="49">
                  <c:v>14/05/2020</c:v>
                </c:pt>
                <c:pt idx="50">
                  <c:v>15/05/2020</c:v>
                </c:pt>
                <c:pt idx="51">
                  <c:v>16/05/2020</c:v>
                </c:pt>
                <c:pt idx="52">
                  <c:v>17/05/2020</c:v>
                </c:pt>
                <c:pt idx="53">
                  <c:v>18/05/2020</c:v>
                </c:pt>
                <c:pt idx="54">
                  <c:v>19/05/2020</c:v>
                </c:pt>
                <c:pt idx="55">
                  <c:v>20/05/2020</c:v>
                </c:pt>
                <c:pt idx="56">
                  <c:v>21/05/2020</c:v>
                </c:pt>
                <c:pt idx="57">
                  <c:v>22/05/2020</c:v>
                </c:pt>
                <c:pt idx="58">
                  <c:v>23/05/2020</c:v>
                </c:pt>
                <c:pt idx="59">
                  <c:v>24/05/2020</c:v>
                </c:pt>
                <c:pt idx="60">
                  <c:v>25/05/2020</c:v>
                </c:pt>
                <c:pt idx="61">
                  <c:v>26/05/2020</c:v>
                </c:pt>
                <c:pt idx="62">
                  <c:v>27/05/2020</c:v>
                </c:pt>
                <c:pt idx="63">
                  <c:v>28/05/2020</c:v>
                </c:pt>
                <c:pt idx="64">
                  <c:v>29/05/2020</c:v>
                </c:pt>
                <c:pt idx="65">
                  <c:v>30/05/2020</c:v>
                </c:pt>
                <c:pt idx="66">
                  <c:v>31/05/2020</c:v>
                </c:pt>
                <c:pt idx="67">
                  <c:v>01/06/2020</c:v>
                </c:pt>
                <c:pt idx="68">
                  <c:v>02/06/2020</c:v>
                </c:pt>
                <c:pt idx="69">
                  <c:v>03/06/2020</c:v>
                </c:pt>
                <c:pt idx="70">
                  <c:v>04/06/2020</c:v>
                </c:pt>
                <c:pt idx="71">
                  <c:v>05/06/2020</c:v>
                </c:pt>
                <c:pt idx="72">
                  <c:v>06/06/2020</c:v>
                </c:pt>
              </c:strCache>
            </c:strRef>
          </c:cat>
          <c:val>
            <c:numRef>
              <c:f>'Graph Data'!$M$126:$M$198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92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53</c:v>
                </c:pt>
                <c:pt idx="7">
                  <c:v>55</c:v>
                </c:pt>
                <c:pt idx="8">
                  <c:v>53</c:v>
                </c:pt>
                <c:pt idx="9">
                  <c:v>29</c:v>
                </c:pt>
                <c:pt idx="10">
                  <c:v>31.5</c:v>
                </c:pt>
                <c:pt idx="11">
                  <c:v>31.5</c:v>
                </c:pt>
                <c:pt idx="12">
                  <c:v>25</c:v>
                </c:pt>
                <c:pt idx="13">
                  <c:v>45</c:v>
                </c:pt>
                <c:pt idx="14">
                  <c:v>40</c:v>
                </c:pt>
                <c:pt idx="15">
                  <c:v>34</c:v>
                </c:pt>
                <c:pt idx="16">
                  <c:v>35</c:v>
                </c:pt>
                <c:pt idx="17">
                  <c:v>22.5</c:v>
                </c:pt>
                <c:pt idx="18">
                  <c:v>22.5</c:v>
                </c:pt>
                <c:pt idx="19">
                  <c:v>27</c:v>
                </c:pt>
                <c:pt idx="20">
                  <c:v>44</c:v>
                </c:pt>
                <c:pt idx="21">
                  <c:v>14</c:v>
                </c:pt>
                <c:pt idx="22">
                  <c:v>43</c:v>
                </c:pt>
                <c:pt idx="23">
                  <c:v>29</c:v>
                </c:pt>
                <c:pt idx="24">
                  <c:v>26</c:v>
                </c:pt>
                <c:pt idx="25">
                  <c:v>26</c:v>
                </c:pt>
                <c:pt idx="26">
                  <c:v>25</c:v>
                </c:pt>
                <c:pt idx="27">
                  <c:v>71</c:v>
                </c:pt>
                <c:pt idx="28">
                  <c:v>29</c:v>
                </c:pt>
                <c:pt idx="29">
                  <c:v>29</c:v>
                </c:pt>
                <c:pt idx="30">
                  <c:v>95</c:v>
                </c:pt>
                <c:pt idx="31">
                  <c:v>25</c:v>
                </c:pt>
                <c:pt idx="32">
                  <c:v>25</c:v>
                </c:pt>
                <c:pt idx="33">
                  <c:v>55</c:v>
                </c:pt>
                <c:pt idx="34">
                  <c:v>34</c:v>
                </c:pt>
                <c:pt idx="35">
                  <c:v>25</c:v>
                </c:pt>
                <c:pt idx="36">
                  <c:v>0</c:v>
                </c:pt>
                <c:pt idx="37">
                  <c:v>33</c:v>
                </c:pt>
                <c:pt idx="38">
                  <c:v>39.5</c:v>
                </c:pt>
                <c:pt idx="39">
                  <c:v>39.5</c:v>
                </c:pt>
                <c:pt idx="40">
                  <c:v>8</c:v>
                </c:pt>
                <c:pt idx="41">
                  <c:v>23</c:v>
                </c:pt>
                <c:pt idx="42">
                  <c:v>33</c:v>
                </c:pt>
                <c:pt idx="43">
                  <c:v>27</c:v>
                </c:pt>
                <c:pt idx="44">
                  <c:v>15</c:v>
                </c:pt>
                <c:pt idx="45">
                  <c:v>11.5</c:v>
                </c:pt>
                <c:pt idx="46">
                  <c:v>11.5</c:v>
                </c:pt>
                <c:pt idx="47">
                  <c:v>7</c:v>
                </c:pt>
                <c:pt idx="48">
                  <c:v>16</c:v>
                </c:pt>
                <c:pt idx="49">
                  <c:v>16</c:v>
                </c:pt>
                <c:pt idx="50">
                  <c:v>15</c:v>
                </c:pt>
                <c:pt idx="51">
                  <c:v>21</c:v>
                </c:pt>
                <c:pt idx="52">
                  <c:v>8</c:v>
                </c:pt>
                <c:pt idx="53">
                  <c:v>8</c:v>
                </c:pt>
                <c:pt idx="54">
                  <c:v>2</c:v>
                </c:pt>
                <c:pt idx="55">
                  <c:v>21</c:v>
                </c:pt>
                <c:pt idx="56">
                  <c:v>12</c:v>
                </c:pt>
                <c:pt idx="57">
                  <c:v>28</c:v>
                </c:pt>
                <c:pt idx="58">
                  <c:v>10</c:v>
                </c:pt>
                <c:pt idx="59">
                  <c:v>6</c:v>
                </c:pt>
                <c:pt idx="60">
                  <c:v>6</c:v>
                </c:pt>
                <c:pt idx="61">
                  <c:v>12</c:v>
                </c:pt>
                <c:pt idx="62">
                  <c:v>9</c:v>
                </c:pt>
                <c:pt idx="63">
                  <c:v>8</c:v>
                </c:pt>
                <c:pt idx="64">
                  <c:v>4</c:v>
                </c:pt>
                <c:pt idx="65">
                  <c:v>11</c:v>
                </c:pt>
                <c:pt idx="66">
                  <c:v>12</c:v>
                </c:pt>
                <c:pt idx="67">
                  <c:v>12</c:v>
                </c:pt>
                <c:pt idx="68">
                  <c:v>4</c:v>
                </c:pt>
                <c:pt idx="69">
                  <c:v>22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AF-47C9-AA54-7487AAEE8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715360"/>
        <c:axId val="528716344"/>
      </c:areaChart>
      <c:catAx>
        <c:axId val="312047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Algn val="ctr"/>
        <c:lblOffset val="100"/>
        <c:noMultiLvlLbl val="0"/>
      </c:catAx>
      <c:valAx>
        <c:axId val="312063496"/>
        <c:scaling>
          <c:orientation val="minMax"/>
          <c:max val="2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midCat"/>
      </c:valAx>
      <c:valAx>
        <c:axId val="528716344"/>
        <c:scaling>
          <c:orientation val="minMax"/>
          <c:max val="32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715360"/>
        <c:crosses val="max"/>
        <c:crossBetween val="midCat"/>
      </c:valAx>
      <c:catAx>
        <c:axId val="5287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8716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Total Deaths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F1-49BB-A8AD-02A77968F0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F1-49BB-A8AD-02A77968F0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F1-49BB-A8AD-02A77968F0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F1-49BB-A8AD-02A77968F0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F1-49BB-A8AD-02A77968F0D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F1-49BB-A8AD-02A77968F0D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F1-49BB-A8AD-02A77968F0D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F1-49BB-A8AD-02A77968F0D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F1-49BB-A8AD-02A77968F0D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CF1-49BB-A8AD-02A77968F0D8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CF1-49BB-A8AD-02A77968F0D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CF1-49BB-A8AD-02A77968F0D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CF1-49BB-A8AD-02A77968F0D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CF1-49BB-A8AD-02A77968F0D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CF1-49BB-A8AD-02A77968F0D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Data!$B$927:$B$936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Data!$F$927:$F$936</c:f>
              <c:numCache>
                <c:formatCode>_-* #,##0_-;\-* #,##0_-;_-* "-"??_-;_-@_-</c:formatCode>
                <c:ptCount val="10"/>
                <c:pt idx="0">
                  <c:v>2716</c:v>
                </c:pt>
                <c:pt idx="1">
                  <c:v>5620</c:v>
                </c:pt>
                <c:pt idx="2">
                  <c:v>187</c:v>
                </c:pt>
                <c:pt idx="3">
                  <c:v>160</c:v>
                </c:pt>
                <c:pt idx="4">
                  <c:v>7</c:v>
                </c:pt>
                <c:pt idx="5">
                  <c:v>15</c:v>
                </c:pt>
                <c:pt idx="6">
                  <c:v>63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CF1-49BB-A8AD-02A77968F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Total Deaths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D3-402C-98E4-2C134987E9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D3-402C-98E4-2C134987E9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D3-402C-98E4-2C134987E9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D3-402C-98E4-2C134987E9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BD3-402C-98E4-2C134987E9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BD3-402C-98E4-2C134987E9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BD3-402C-98E4-2C134987E9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BD3-402C-98E4-2C134987E9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BD3-402C-98E4-2C134987E96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BD3-402C-98E4-2C134987E969}"/>
              </c:ext>
            </c:extLst>
          </c:dPt>
          <c:dLbls>
            <c:dLbl>
              <c:idx val="3"/>
              <c:layout>
                <c:manualLayout>
                  <c:x val="4.0771685946664075E-2"/>
                  <c:y val="-9.991789001058411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D3-402C-98E4-2C134987E96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D3-402C-98E4-2C134987E96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D3-402C-98E4-2C134987E96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baseline="0"/>
                      <a:t>Rest
</a:t>
                    </a:r>
                    <a:fld id="{0B852BB8-EEB5-4351-9972-D017618DB3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3BD3-402C-98E4-2C134987E96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BD3-402C-98E4-2C134987E96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BD3-402C-98E4-2C134987E96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BD3-402C-98E4-2C134987E96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Data!$B$871:$B$880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Data!$F$871:$F$880</c:f>
              <c:numCache>
                <c:formatCode>_-* #,##0_-;\-* #,##0_-;_-* "-"??_-;_-@_-</c:formatCode>
                <c:ptCount val="10"/>
                <c:pt idx="0">
                  <c:v>2507</c:v>
                </c:pt>
                <c:pt idx="1">
                  <c:v>5195</c:v>
                </c:pt>
                <c:pt idx="2">
                  <c:v>168</c:v>
                </c:pt>
                <c:pt idx="3">
                  <c:v>150</c:v>
                </c:pt>
                <c:pt idx="4">
                  <c:v>7</c:v>
                </c:pt>
                <c:pt idx="5">
                  <c:v>13</c:v>
                </c:pt>
                <c:pt idx="6">
                  <c:v>62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BD3-402C-98E4-2C134987E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Deaths Per Capita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DD-4D8E-9A79-3BAB23E6A2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DD-4D8E-9A79-3BAB23E6A2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DD-4D8E-9A79-3BAB23E6A2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1DD-4D8E-9A79-3BAB23E6A2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1DD-4D8E-9A79-3BAB23E6A2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1DD-4D8E-9A79-3BAB23E6A2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1DD-4D8E-9A79-3BAB23E6A2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1DD-4D8E-9A79-3BAB23E6A2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1DD-4D8E-9A79-3BAB23E6A2F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1DD-4D8E-9A79-3BAB23E6A2FF}"/>
              </c:ext>
            </c:extLst>
          </c:dPt>
          <c:dLbls>
            <c:dLbl>
              <c:idx val="4"/>
              <c:layout>
                <c:manualLayout>
                  <c:x val="0.11558633874469396"/>
                  <c:y val="-1.45690649428315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Rest</a:t>
                    </a:r>
                    <a:r>
                      <a:rPr lang="en-US" baseline="0"/>
                      <a:t>
3%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DD-4D8E-9A79-3BAB23E6A2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DD-4D8E-9A79-3BAB23E6A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1DD-4D8E-9A79-3BAB23E6A2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1DD-4D8E-9A79-3BAB23E6A2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1DD-4D8E-9A79-3BAB23E6A2FF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Data!$B$871:$B$880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Data!$O$871:$O$880</c:f>
              <c:numCache>
                <c:formatCode>0.00</c:formatCode>
                <c:ptCount val="10"/>
                <c:pt idx="0">
                  <c:v>173.49480968858131</c:v>
                </c:pt>
                <c:pt idx="1">
                  <c:v>616.25148279952555</c:v>
                </c:pt>
                <c:pt idx="2">
                  <c:v>33.466135458167336</c:v>
                </c:pt>
                <c:pt idx="3">
                  <c:v>34.562211981566819</c:v>
                </c:pt>
                <c:pt idx="4">
                  <c:v>5.1470588235294112</c:v>
                </c:pt>
                <c:pt idx="5">
                  <c:v>11.111111111111112</c:v>
                </c:pt>
                <c:pt idx="6">
                  <c:v>64.248704663212436</c:v>
                </c:pt>
                <c:pt idx="7">
                  <c:v>2.5906735751295336</c:v>
                </c:pt>
                <c:pt idx="8">
                  <c:v>0</c:v>
                </c:pt>
                <c:pt idx="9">
                  <c:v>5.7251908396946565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DD-4D8E-9A79-3BAB23E6A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Active Cases Per Capita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DE-4066-B38C-C55B5A6924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DE-4066-B38C-C55B5A6924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DE-4066-B38C-C55B5A6924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DE-4066-B38C-C55B5A69242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DE-4066-B38C-C55B5A69242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DE-4066-B38C-C55B5A69242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6DE-4066-B38C-C55B5A69242E}"/>
              </c:ext>
            </c:extLst>
          </c:dPt>
          <c:dPt>
            <c:idx val="7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6DE-4066-B38C-C55B5A69242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6DE-4066-B38C-C55B5A69242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6DE-4066-B38C-C55B5A69242E}"/>
              </c:ext>
            </c:extLst>
          </c:dPt>
          <c:dLbls>
            <c:dLbl>
              <c:idx val="2"/>
              <c:layout>
                <c:manualLayout>
                  <c:x val="-3.6692346327079482E-2"/>
                  <c:y val="-5.66100914600864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DE-4066-B38C-C55B5A69242E}"/>
                </c:ext>
              </c:extLst>
            </c:dLbl>
            <c:dLbl>
              <c:idx val="3"/>
              <c:layout>
                <c:manualLayout>
                  <c:x val="9.2238585917501052E-3"/>
                  <c:y val="-3.04404987351264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DE-4066-B38C-C55B5A69242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DE-4066-B38C-C55B5A69242E}"/>
                </c:ext>
              </c:extLst>
            </c:dLbl>
            <c:dLbl>
              <c:idx val="5"/>
              <c:layout>
                <c:manualLayout>
                  <c:x val="4.5081818476394156E-2"/>
                  <c:y val="-2.74000560056575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DE-4066-B38C-C55B5A69242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DE-4066-B38C-C55B5A69242E}"/>
                </c:ext>
              </c:extLst>
            </c:dLbl>
            <c:dLbl>
              <c:idx val="7"/>
              <c:layout>
                <c:manualLayout>
                  <c:x val="0.10497407731440977"/>
                  <c:y val="1.38566539942000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6DE-4066-B38C-C55B5A69242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6DE-4066-B38C-C55B5A69242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6DE-4066-B38C-C55B5A69242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Data!$B$871:$B$880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Data!$Q$871:$Q$880</c:f>
              <c:numCache>
                <c:formatCode>0</c:formatCode>
                <c:ptCount val="10"/>
                <c:pt idx="0">
                  <c:v>203.94463667820071</c:v>
                </c:pt>
                <c:pt idx="1">
                  <c:v>3244.1281138790036</c:v>
                </c:pt>
                <c:pt idx="2">
                  <c:v>37.250996015936259</c:v>
                </c:pt>
                <c:pt idx="3">
                  <c:v>92.857142857142861</c:v>
                </c:pt>
                <c:pt idx="4">
                  <c:v>3.6764705882352939</c:v>
                </c:pt>
                <c:pt idx="5">
                  <c:v>20.512820512820515</c:v>
                </c:pt>
                <c:pt idx="6">
                  <c:v>3.1088082901554404</c:v>
                </c:pt>
                <c:pt idx="7">
                  <c:v>37.564766839378237</c:v>
                </c:pt>
                <c:pt idx="8">
                  <c:v>0</c:v>
                </c:pt>
                <c:pt idx="9">
                  <c:v>3.8167938931297707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6DE-4066-B38C-C55B5A692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New Deaths Per Capita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57-48FC-9B7A-F26845F962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57-48FC-9B7A-F26845F962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57-48FC-9B7A-F26845F962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57-48FC-9B7A-F26845F962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57-48FC-9B7A-F26845F962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857-48FC-9B7A-F26845F9621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857-48FC-9B7A-F26845F96210}"/>
              </c:ext>
            </c:extLst>
          </c:dPt>
          <c:dPt>
            <c:idx val="7"/>
            <c:bubble3D val="0"/>
            <c:spPr>
              <a:solidFill>
                <a:srgbClr val="255E9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857-48FC-9B7A-F26845F9621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857-48FC-9B7A-F26845F9621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857-48FC-9B7A-F26845F96210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57-48FC-9B7A-F26845F962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57-48FC-9B7A-F26845F96210}"/>
                </c:ext>
              </c:extLst>
            </c:dLbl>
            <c:dLbl>
              <c:idx val="6"/>
              <c:layout>
                <c:manualLayout>
                  <c:x val="1.7275849778037005E-3"/>
                  <c:y val="4.82906408850789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57-48FC-9B7A-F26845F96210}"/>
                </c:ext>
              </c:extLst>
            </c:dLbl>
            <c:dLbl>
              <c:idx val="7"/>
              <c:layout>
                <c:manualLayout>
                  <c:x val="9.6050840867113827E-3"/>
                  <c:y val="3.84694792897723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57-48FC-9B7A-F26845F9621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Rest</a:t>
                    </a:r>
                    <a:endParaRPr lang="en-US" baseline="0"/>
                  </a:p>
                  <a:p>
                    <a:r>
                      <a:rPr lang="en-US" baseline="0"/>
                      <a:t>1%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57-48FC-9B7A-F26845F962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857-48FC-9B7A-F26845F9621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Data!$B$871:$B$880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Data!$T$871:$T$880</c:f>
              <c:numCache>
                <c:formatCode>_(* #,##0.00_);_(* \(#,##0.00\);_(* "-"??_);_(@_)</c:formatCode>
                <c:ptCount val="10"/>
                <c:pt idx="0">
                  <c:v>0.98863074641621362</c:v>
                </c:pt>
                <c:pt idx="1">
                  <c:v>3.8129130655821051</c:v>
                </c:pt>
                <c:pt idx="2">
                  <c:v>2.8457598178713718E-2</c:v>
                </c:pt>
                <c:pt idx="3">
                  <c:v>0.1316655694535879</c:v>
                </c:pt>
                <c:pt idx="4">
                  <c:v>0</c:v>
                </c:pt>
                <c:pt idx="5">
                  <c:v>0.24420024420024422</c:v>
                </c:pt>
                <c:pt idx="6">
                  <c:v>0.14803849000740193</c:v>
                </c:pt>
                <c:pt idx="7">
                  <c:v>0.1850481125092524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857-48FC-9B7A-F26845F96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New Cases Per Capita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C8-4C56-8F03-BDB73A94C9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C8-4C56-8F03-BDB73A94C9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C8-4C56-8F03-BDB73A94C9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C8-4C56-8F03-BDB73A94C9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9C8-4C56-8F03-BDB73A94C9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9C8-4C56-8F03-BDB73A94C9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9C8-4C56-8F03-BDB73A94C9A0}"/>
              </c:ext>
            </c:extLst>
          </c:dPt>
          <c:dPt>
            <c:idx val="7"/>
            <c:bubble3D val="0"/>
            <c:spPr>
              <a:solidFill>
                <a:srgbClr val="255E9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9C8-4C56-8F03-BDB73A94C9A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9C8-4C56-8F03-BDB73A94C9A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9C8-4C56-8F03-BDB73A94C9A0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C8-4C56-8F03-BDB73A94C9A0}"/>
                </c:ext>
              </c:extLst>
            </c:dLbl>
            <c:dLbl>
              <c:idx val="6"/>
              <c:layout>
                <c:manualLayout>
                  <c:x val="2.2820469200609182E-2"/>
                  <c:y val="4.42150427399106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C8-4C56-8F03-BDB73A94C9A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9C8-4C56-8F03-BDB73A94C9A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9C8-4C56-8F03-BDB73A94C9A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Data!$B$871:$B$880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Data!$S$871:$S$880</c:f>
              <c:numCache>
                <c:formatCode>_-* #,##0_-;\-* #,##0_-;_-* "-"??_-;_-@_-</c:formatCode>
                <c:ptCount val="10"/>
                <c:pt idx="0">
                  <c:v>17.696490360850223</c:v>
                </c:pt>
                <c:pt idx="1">
                  <c:v>20.335536349771225</c:v>
                </c:pt>
                <c:pt idx="2">
                  <c:v>2.1912350597609564</c:v>
                </c:pt>
                <c:pt idx="3">
                  <c:v>8.064516129032258</c:v>
                </c:pt>
                <c:pt idx="4">
                  <c:v>0.10504201680672268</c:v>
                </c:pt>
                <c:pt idx="5">
                  <c:v>1.7094017094017093</c:v>
                </c:pt>
                <c:pt idx="6">
                  <c:v>0.14803849000740193</c:v>
                </c:pt>
                <c:pt idx="7">
                  <c:v>3.8860103626943006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9C8-4C56-8F03-BDB73A94C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Estimated Infection Level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Data!$X$856</c:f>
              <c:strCache>
                <c:ptCount val="1"/>
                <c:pt idx="0">
                  <c:v>Immunity Level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68-44F3-AAF3-C0E90EF0ED31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D68-44F3-AAF3-C0E90EF0ED3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D68-44F3-AAF3-C0E90EF0ED31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68-44F3-AAF3-C0E90EF0ED31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D68-44F3-AAF3-C0E90EF0ED3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D68-44F3-AAF3-C0E90EF0ED3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D68-44F3-AAF3-C0E90EF0ED3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D68-44F3-AAF3-C0E90EF0ED3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D68-44F3-AAF3-C0E90EF0ED31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D68-44F3-AAF3-C0E90EF0ED3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D68-44F3-AAF3-C0E90EF0ED31}"/>
              </c:ext>
            </c:extLst>
          </c:dPt>
          <c:cat>
            <c:strRef>
              <c:f>Data!$V$857:$V$868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Data!$X$857:$X$868</c:f>
              <c:numCache>
                <c:formatCode>0.0%</c:formatCode>
                <c:ptCount val="12"/>
                <c:pt idx="0">
                  <c:v>2.520352910510942E-2</c:v>
                </c:pt>
                <c:pt idx="1">
                  <c:v>7.3870601649690046E-2</c:v>
                </c:pt>
                <c:pt idx="2">
                  <c:v>1.1918128487188014E-2</c:v>
                </c:pt>
                <c:pt idx="3">
                  <c:v>1.7578880903031887E-2</c:v>
                </c:pt>
                <c:pt idx="4">
                  <c:v>4.3977544864458942E-3</c:v>
                </c:pt>
                <c:pt idx="5">
                  <c:v>9.1871405326972681E-3</c:v>
                </c:pt>
                <c:pt idx="6">
                  <c:v>1.5948798303060025E-2</c:v>
                </c:pt>
                <c:pt idx="7">
                  <c:v>2.865907818205218E-3</c:v>
                </c:pt>
                <c:pt idx="8">
                  <c:v>2.5776379293198158E-3</c:v>
                </c:pt>
                <c:pt idx="9">
                  <c:v>1.3708022251759641E-2</c:v>
                </c:pt>
                <c:pt idx="10">
                  <c:v>3.3708156028368796E-2</c:v>
                </c:pt>
                <c:pt idx="11">
                  <c:v>6.6804126598968824E-2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D68-44F3-AAF3-C0E90EF0ED31}"/>
            </c:ext>
          </c:extLst>
        </c:ser>
        <c:ser>
          <c:idx val="1"/>
          <c:order val="1"/>
          <c:tx>
            <c:strRef>
              <c:f>Data!$AB$856</c:f>
              <c:strCache>
                <c:ptCount val="1"/>
                <c:pt idx="0">
                  <c:v>Last Month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2D68-44F3-AAF3-C0E90EF0ED31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2D68-44F3-AAF3-C0E90EF0ED31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2D68-44F3-AAF3-C0E90EF0ED31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030A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2D68-44F3-AAF3-C0E90EF0ED31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33CC3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2D68-44F3-AAF3-C0E90EF0ED31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2D68-44F3-AAF3-C0E90EF0ED31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2D68-44F3-AAF3-C0E90EF0ED31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2D68-44F3-AAF3-C0E90EF0ED31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2D68-44F3-AAF3-C0E90EF0ED31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2D68-44F3-AAF3-C0E90EF0ED31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2D68-44F3-AAF3-C0E90EF0ED31}"/>
              </c:ext>
            </c:extLst>
          </c:dPt>
          <c:cat>
            <c:strRef>
              <c:f>Data!$V$857:$V$868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Data!$AB$857:$AB$868</c:f>
              <c:numCache>
                <c:formatCode>0.0%</c:formatCode>
                <c:ptCount val="12"/>
                <c:pt idx="0">
                  <c:v>1.8153949883887303E-2</c:v>
                </c:pt>
                <c:pt idx="1">
                  <c:v>5.4075626911870019E-2</c:v>
                </c:pt>
                <c:pt idx="2">
                  <c:v>8.0549406129355444E-3</c:v>
                </c:pt>
                <c:pt idx="3">
                  <c:v>1.2480569612654655E-2</c:v>
                </c:pt>
                <c:pt idx="4">
                  <c:v>3.5644631862951442E-3</c:v>
                </c:pt>
                <c:pt idx="5">
                  <c:v>5.5878891023779425E-3</c:v>
                </c:pt>
                <c:pt idx="6">
                  <c:v>1.0932993363507918E-2</c:v>
                </c:pt>
                <c:pt idx="7">
                  <c:v>2.609988801791713E-3</c:v>
                </c:pt>
                <c:pt idx="8">
                  <c:v>2.7036802441711793E-3</c:v>
                </c:pt>
                <c:pt idx="9">
                  <c:v>9.9783848413816066E-3</c:v>
                </c:pt>
                <c:pt idx="10">
                  <c:v>2.299113475177305E-2</c:v>
                </c:pt>
                <c:pt idx="11">
                  <c:v>5.9604383020917244E-2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2D68-44F3-AAF3-C0E90EF0E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0"/>
        <c:axId val="296235904"/>
        <c:axId val="296237216"/>
      </c:barChart>
      <c:catAx>
        <c:axId val="29623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37216"/>
        <c:crosses val="autoZero"/>
        <c:auto val="1"/>
        <c:lblAlgn val="ctr"/>
        <c:lblOffset val="100"/>
        <c:noMultiLvlLbl val="0"/>
      </c:catAx>
      <c:valAx>
        <c:axId val="296237216"/>
        <c:scaling>
          <c:orientation val="minMax"/>
          <c:max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3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Active Cases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ED-4021-A625-D539BFAD9B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ED-4021-A625-D539BFAD9B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ED-4021-A625-D539BFAD9B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ED-4021-A625-D539BFAD9B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4ED-4021-A625-D539BFAD9B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4ED-4021-A625-D539BFAD9B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4ED-4021-A625-D539BFAD9BA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4ED-4021-A625-D539BFAD9BA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4ED-4021-A625-D539BFAD9BA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4ED-4021-A625-D539BFAD9BA9}"/>
              </c:ext>
            </c:extLst>
          </c:dPt>
          <c:dLbls>
            <c:dLbl>
              <c:idx val="2"/>
              <c:layout>
                <c:manualLayout>
                  <c:x val="-1.5745844269466316E-2"/>
                  <c:y val="-4.29665437389946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ED-4021-A625-D539BFAD9BA9}"/>
                </c:ext>
              </c:extLst>
            </c:dLbl>
            <c:dLbl>
              <c:idx val="3"/>
              <c:layout>
                <c:manualLayout>
                  <c:x val="3.0207705518291696E-2"/>
                  <c:y val="2.135334349029156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ED-4021-A625-D539BFAD9BA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ED-4021-A625-D539BFAD9BA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ED-4021-A625-D539BFAD9BA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ED-4021-A625-D539BFAD9BA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4ED-4021-A625-D539BFAD9BA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4ED-4021-A625-D539BFAD9BA9}"/>
                </c:ext>
              </c:extLst>
            </c:dLbl>
            <c:dLbl>
              <c:idx val="9"/>
              <c:layout>
                <c:manualLayout>
                  <c:x val="7.197871099445903E-2"/>
                  <c:y val="7.0362090814597544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Rest</a:t>
                    </a:r>
                  </a:p>
                  <a:p>
                    <a:r>
                      <a:rPr lang="en-US" baseline="0"/>
                      <a:t>&lt;1%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4ED-4021-A625-D539BFAD9BA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Data!$B$857:$B$866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Data!$H$857:$H$866</c:f>
              <c:numCache>
                <c:formatCode>_-* #,##0_-;\-* #,##0_-;_-* "-"??_-;_-@_-</c:formatCode>
                <c:ptCount val="10"/>
                <c:pt idx="0">
                  <c:v>3848</c:v>
                </c:pt>
                <c:pt idx="1">
                  <c:v>29242</c:v>
                </c:pt>
                <c:pt idx="2">
                  <c:v>193</c:v>
                </c:pt>
                <c:pt idx="3">
                  <c:v>336</c:v>
                </c:pt>
                <c:pt idx="4">
                  <c:v>9</c:v>
                </c:pt>
                <c:pt idx="5">
                  <c:v>28</c:v>
                </c:pt>
                <c:pt idx="6">
                  <c:v>3</c:v>
                </c:pt>
                <c:pt idx="7">
                  <c:v>12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4ED-4021-A625-D539BFAD9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Resolved / Cases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Data!$Y$688</c:f>
              <c:strCache>
                <c:ptCount val="1"/>
                <c:pt idx="0">
                  <c:v>Recovered /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8B-4EAF-A4F9-AEBF53BEE241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8B-4EAF-A4F9-AEBF53BEE24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18B-4EAF-A4F9-AEBF53BEE241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8B-4EAF-A4F9-AEBF53BEE241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8B-4EAF-A4F9-AEBF53BEE24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18B-4EAF-A4F9-AEBF53BEE24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18B-4EAF-A4F9-AEBF53BEE24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18B-4EAF-A4F9-AEBF53BEE24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18B-4EAF-A4F9-AEBF53BEE241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18B-4EAF-A4F9-AEBF53BEE24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18B-4EAF-A4F9-AEBF53BEE241}"/>
              </c:ext>
            </c:extLst>
          </c:dPt>
          <c:cat>
            <c:strRef>
              <c:f>Data!$V$689:$V$700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Data!$Y$857:$Y$868</c:f>
              <c:numCache>
                <c:formatCode>0%</c:formatCode>
                <c:ptCount val="12"/>
                <c:pt idx="0">
                  <c:v>0.87259121912456128</c:v>
                </c:pt>
                <c:pt idx="1">
                  <c:v>0.44432198236546061</c:v>
                </c:pt>
                <c:pt idx="2">
                  <c:v>0.92667173252279633</c:v>
                </c:pt>
                <c:pt idx="3">
                  <c:v>0.95292799103390302</c:v>
                </c:pt>
                <c:pt idx="4">
                  <c:v>0.97</c:v>
                </c:pt>
                <c:pt idx="5">
                  <c:v>0.95692307692307688</c:v>
                </c:pt>
                <c:pt idx="6">
                  <c:v>0.99716981132075466</c:v>
                </c:pt>
                <c:pt idx="7">
                  <c:v>0.91176470588235292</c:v>
                </c:pt>
                <c:pt idx="8">
                  <c:v>1</c:v>
                </c:pt>
                <c:pt idx="9">
                  <c:v>0.9923371647509579</c:v>
                </c:pt>
                <c:pt idx="10">
                  <c:v>0.64579147248493007</c:v>
                </c:pt>
                <c:pt idx="11">
                  <c:v>0.43317255219163753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18B-4EAF-A4F9-AEBF53BEE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2047096"/>
        <c:axId val="312063496"/>
      </c:barChart>
      <c:catAx>
        <c:axId val="312047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Algn val="ctr"/>
        <c:lblOffset val="100"/>
        <c:noMultiLvlLbl val="0"/>
      </c:catAx>
      <c:valAx>
        <c:axId val="3120634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Mortality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52564725705582"/>
          <c:y val="0.13434676155498712"/>
          <c:w val="0.79301659051877793"/>
          <c:h val="0.778639410091887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Data!$Z$856</c:f>
              <c:strCache>
                <c:ptCount val="1"/>
                <c:pt idx="0">
                  <c:v>Deceased / Resolved (OFR)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66AC-4B5C-A087-14C16379C2B1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AC-4B5C-A087-14C16379C2B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AC-4B5C-A087-14C16379C2B1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AC-4B5C-A087-14C16379C2B1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AC-4B5C-A087-14C16379C2B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6AC-4B5C-A087-14C16379C2B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AC-4B5C-A087-14C16379C2B1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6AC-4B5C-A087-14C16379C2B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6AC-4B5C-A087-14C16379C2B1}"/>
              </c:ext>
            </c:extLst>
          </c:dPt>
          <c:cat>
            <c:strRef>
              <c:f>Data!$V$857:$V$868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Data!$Z$857:$Z$868</c:f>
              <c:numCache>
                <c:formatCode>0%</c:formatCode>
                <c:ptCount val="12"/>
                <c:pt idx="0">
                  <c:v>9.1333383926538669E-2</c:v>
                </c:pt>
                <c:pt idx="1">
                  <c:v>0.21255666752202548</c:v>
                </c:pt>
                <c:pt idx="2">
                  <c:v>6.8470684706847071E-2</c:v>
                </c:pt>
                <c:pt idx="3">
                  <c:v>2.1464275213172596E-2</c:v>
                </c:pt>
                <c:pt idx="4">
                  <c:v>2.4054982817869417E-2</c:v>
                </c:pt>
                <c:pt idx="5">
                  <c:v>1.7684887459807074E-2</c:v>
                </c:pt>
                <c:pt idx="6">
                  <c:v>5.7710501419110688E-2</c:v>
                </c:pt>
                <c:pt idx="7">
                  <c:v>8.0645161290322578E-3</c:v>
                </c:pt>
                <c:pt idx="8">
                  <c:v>0</c:v>
                </c:pt>
                <c:pt idx="9">
                  <c:v>1.1583011583011582E-2</c:v>
                </c:pt>
                <c:pt idx="10">
                  <c:v>0.12662290061413653</c:v>
                </c:pt>
                <c:pt idx="11">
                  <c:v>0.13039953218227185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AC-4B5C-A087-14C16379C2B1}"/>
            </c:ext>
          </c:extLst>
        </c:ser>
        <c:ser>
          <c:idx val="1"/>
          <c:order val="1"/>
          <c:tx>
            <c:strRef>
              <c:f>Data!$AA$856</c:f>
              <c:strCache>
                <c:ptCount val="1"/>
                <c:pt idx="0">
                  <c:v>Deceased / Case (CFR)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66AC-4B5C-A087-14C16379C2B1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6AC-4B5C-A087-14C16379C2B1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66AC-4B5C-A087-14C16379C2B1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030A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66AC-4B5C-A087-14C16379C2B1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66AC-4B5C-A087-14C16379C2B1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66AC-4B5C-A087-14C16379C2B1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66AC-4B5C-A087-14C16379C2B1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6AC-4B5C-A087-14C16379C2B1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66AC-4B5C-A087-14C16379C2B1}"/>
              </c:ext>
            </c:extLst>
          </c:dPt>
          <c:cat>
            <c:strRef>
              <c:f>Data!$V$857:$V$868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Data!$AA$857:$AA$868</c:f>
              <c:numCache>
                <c:formatCode>0%</c:formatCode>
                <c:ptCount val="12"/>
                <c:pt idx="0">
                  <c:v>7.9696708827229984E-2</c:v>
                </c:pt>
                <c:pt idx="1">
                  <c:v>9.4443599878382481E-2</c:v>
                </c:pt>
                <c:pt idx="2">
                  <c:v>6.3449848024316108E-2</c:v>
                </c:pt>
                <c:pt idx="3">
                  <c:v>2.0453908657887362E-2</c:v>
                </c:pt>
                <c:pt idx="4">
                  <c:v>2.3333333333333334E-2</c:v>
                </c:pt>
                <c:pt idx="5">
                  <c:v>1.6923076923076923E-2</c:v>
                </c:pt>
                <c:pt idx="6">
                  <c:v>5.7547169811320756E-2</c:v>
                </c:pt>
                <c:pt idx="7">
                  <c:v>7.3529411764705881E-3</c:v>
                </c:pt>
                <c:pt idx="8">
                  <c:v>0</c:v>
                </c:pt>
                <c:pt idx="9">
                  <c:v>1.1494252873563218E-2</c:v>
                </c:pt>
                <c:pt idx="10">
                  <c:v>8.1771989437916193E-2</c:v>
                </c:pt>
                <c:pt idx="11">
                  <c:v>5.6485498159990273E-2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6AC-4B5C-A087-14C16379C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2047096"/>
        <c:axId val="312063496"/>
      </c:barChart>
      <c:catAx>
        <c:axId val="312047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Algn val="ctr"/>
        <c:lblOffset val="100"/>
        <c:noMultiLvlLbl val="0"/>
      </c:catAx>
      <c:valAx>
        <c:axId val="312063496"/>
        <c:scaling>
          <c:orientation val="minMax"/>
          <c:max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699199637082405"/>
          <c:y val="0.39060000666885786"/>
          <c:w val="0.39063105537733711"/>
          <c:h val="0.24100394891654878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New Cases Per Day (Canada and BC)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  <a:effectLst/>
          </c:spPr>
          <c:cat>
            <c:strRef>
              <c:f>'Graph Data'!$B$126:$B$198</c:f>
              <c:strCache>
                <c:ptCount val="73"/>
                <c:pt idx="0">
                  <c:v>Canada</c:v>
                </c:pt>
                <c:pt idx="1">
                  <c:v>27/03/2020</c:v>
                </c:pt>
                <c:pt idx="2">
                  <c:v>28/03/2020</c:v>
                </c:pt>
                <c:pt idx="3">
                  <c:v>29/03/2020</c:v>
                </c:pt>
                <c:pt idx="4">
                  <c:v>30/03/2020</c:v>
                </c:pt>
                <c:pt idx="5">
                  <c:v>31/03/2020</c:v>
                </c:pt>
                <c:pt idx="6">
                  <c:v>01/04/2020</c:v>
                </c:pt>
                <c:pt idx="7">
                  <c:v>02/04/2020</c:v>
                </c:pt>
                <c:pt idx="8">
                  <c:v>03/04/2020</c:v>
                </c:pt>
                <c:pt idx="9">
                  <c:v>04/04/2020</c:v>
                </c:pt>
                <c:pt idx="10">
                  <c:v>05/04/2020</c:v>
                </c:pt>
                <c:pt idx="11">
                  <c:v>06/04/2020</c:v>
                </c:pt>
                <c:pt idx="12">
                  <c:v>07/04/2020</c:v>
                </c:pt>
                <c:pt idx="13">
                  <c:v>08/04/2020</c:v>
                </c:pt>
                <c:pt idx="14">
                  <c:v>09/04/2020</c:v>
                </c:pt>
                <c:pt idx="15">
                  <c:v>10/04/2020</c:v>
                </c:pt>
                <c:pt idx="16">
                  <c:v>11/04/2020</c:v>
                </c:pt>
                <c:pt idx="17">
                  <c:v>12/04/2020</c:v>
                </c:pt>
                <c:pt idx="18">
                  <c:v>13/04/2020</c:v>
                </c:pt>
                <c:pt idx="19">
                  <c:v>14/04/2020</c:v>
                </c:pt>
                <c:pt idx="20">
                  <c:v>15/04/2020</c:v>
                </c:pt>
                <c:pt idx="21">
                  <c:v>16/04/2020</c:v>
                </c:pt>
                <c:pt idx="22">
                  <c:v>17/04/2020</c:v>
                </c:pt>
                <c:pt idx="23">
                  <c:v>18/04/2020</c:v>
                </c:pt>
                <c:pt idx="24">
                  <c:v>19/04/2020</c:v>
                </c:pt>
                <c:pt idx="25">
                  <c:v>20/04/2020</c:v>
                </c:pt>
                <c:pt idx="26">
                  <c:v>21/04/2020</c:v>
                </c:pt>
                <c:pt idx="27">
                  <c:v>22/04/2020</c:v>
                </c:pt>
                <c:pt idx="28">
                  <c:v>23/04/2020</c:v>
                </c:pt>
                <c:pt idx="29">
                  <c:v>24/04/2020</c:v>
                </c:pt>
                <c:pt idx="30">
                  <c:v>25/04/2020</c:v>
                </c:pt>
                <c:pt idx="31">
                  <c:v>26/04/2020</c:v>
                </c:pt>
                <c:pt idx="32">
                  <c:v>27/04/2020</c:v>
                </c:pt>
                <c:pt idx="33">
                  <c:v>28/04/2020</c:v>
                </c:pt>
                <c:pt idx="34">
                  <c:v>29/04/2020</c:v>
                </c:pt>
                <c:pt idx="35">
                  <c:v>30/04/2020</c:v>
                </c:pt>
                <c:pt idx="36">
                  <c:v>01/05/2020</c:v>
                </c:pt>
                <c:pt idx="37">
                  <c:v>02/05/2020</c:v>
                </c:pt>
                <c:pt idx="38">
                  <c:v>03/05/2020</c:v>
                </c:pt>
                <c:pt idx="39">
                  <c:v>04/05/2020</c:v>
                </c:pt>
                <c:pt idx="40">
                  <c:v>05/05/2020</c:v>
                </c:pt>
                <c:pt idx="41">
                  <c:v>06/05/2020</c:v>
                </c:pt>
                <c:pt idx="42">
                  <c:v>07/05/2020</c:v>
                </c:pt>
                <c:pt idx="43">
                  <c:v>08/05/2020</c:v>
                </c:pt>
                <c:pt idx="44">
                  <c:v>09/05/2020</c:v>
                </c:pt>
                <c:pt idx="45">
                  <c:v>10/05/2020</c:v>
                </c:pt>
                <c:pt idx="46">
                  <c:v>11/05/2020</c:v>
                </c:pt>
                <c:pt idx="47">
                  <c:v>12/05/2020</c:v>
                </c:pt>
                <c:pt idx="48">
                  <c:v>13/05/2020</c:v>
                </c:pt>
                <c:pt idx="49">
                  <c:v>14/05/2020</c:v>
                </c:pt>
                <c:pt idx="50">
                  <c:v>15/05/2020</c:v>
                </c:pt>
                <c:pt idx="51">
                  <c:v>16/05/2020</c:v>
                </c:pt>
                <c:pt idx="52">
                  <c:v>17/05/2020</c:v>
                </c:pt>
                <c:pt idx="53">
                  <c:v>18/05/2020</c:v>
                </c:pt>
                <c:pt idx="54">
                  <c:v>19/05/2020</c:v>
                </c:pt>
                <c:pt idx="55">
                  <c:v>20/05/2020</c:v>
                </c:pt>
                <c:pt idx="56">
                  <c:v>21/05/2020</c:v>
                </c:pt>
                <c:pt idx="57">
                  <c:v>22/05/2020</c:v>
                </c:pt>
                <c:pt idx="58">
                  <c:v>23/05/2020</c:v>
                </c:pt>
                <c:pt idx="59">
                  <c:v>24/05/2020</c:v>
                </c:pt>
                <c:pt idx="60">
                  <c:v>25/05/2020</c:v>
                </c:pt>
                <c:pt idx="61">
                  <c:v>26/05/2020</c:v>
                </c:pt>
                <c:pt idx="62">
                  <c:v>27/05/2020</c:v>
                </c:pt>
                <c:pt idx="63">
                  <c:v>28/05/2020</c:v>
                </c:pt>
                <c:pt idx="64">
                  <c:v>29/05/2020</c:v>
                </c:pt>
                <c:pt idx="65">
                  <c:v>30/05/2020</c:v>
                </c:pt>
                <c:pt idx="66">
                  <c:v>31/05/2020</c:v>
                </c:pt>
                <c:pt idx="67">
                  <c:v>01/06/2020</c:v>
                </c:pt>
                <c:pt idx="68">
                  <c:v>02/06/2020</c:v>
                </c:pt>
                <c:pt idx="69">
                  <c:v>03/06/2020</c:v>
                </c:pt>
                <c:pt idx="70">
                  <c:v>04/06/2020</c:v>
                </c:pt>
                <c:pt idx="71">
                  <c:v>05/06/2020</c:v>
                </c:pt>
                <c:pt idx="72">
                  <c:v>06/06/2020</c:v>
                </c:pt>
              </c:strCache>
            </c:strRef>
          </c:cat>
          <c:val>
            <c:numRef>
              <c:f>'Graph Data'!$G$126:$G$198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1141</c:v>
                </c:pt>
                <c:pt idx="3">
                  <c:v>785</c:v>
                </c:pt>
                <c:pt idx="4">
                  <c:v>785</c:v>
                </c:pt>
                <c:pt idx="5">
                  <c:v>1143</c:v>
                </c:pt>
                <c:pt idx="6">
                  <c:v>1141</c:v>
                </c:pt>
                <c:pt idx="7">
                  <c:v>1551</c:v>
                </c:pt>
                <c:pt idx="8">
                  <c:v>1159</c:v>
                </c:pt>
                <c:pt idx="9">
                  <c:v>1576</c:v>
                </c:pt>
                <c:pt idx="10">
                  <c:v>1270</c:v>
                </c:pt>
                <c:pt idx="11">
                  <c:v>1270</c:v>
                </c:pt>
                <c:pt idx="12">
                  <c:v>1339</c:v>
                </c:pt>
                <c:pt idx="13">
                  <c:v>1393</c:v>
                </c:pt>
                <c:pt idx="14">
                  <c:v>1475</c:v>
                </c:pt>
                <c:pt idx="15">
                  <c:v>1383</c:v>
                </c:pt>
                <c:pt idx="16">
                  <c:v>1170</c:v>
                </c:pt>
                <c:pt idx="17">
                  <c:v>1181</c:v>
                </c:pt>
                <c:pt idx="18">
                  <c:v>1181</c:v>
                </c:pt>
                <c:pt idx="19">
                  <c:v>1383</c:v>
                </c:pt>
                <c:pt idx="20">
                  <c:v>1334</c:v>
                </c:pt>
                <c:pt idx="21">
                  <c:v>1709</c:v>
                </c:pt>
                <c:pt idx="22">
                  <c:v>1821</c:v>
                </c:pt>
                <c:pt idx="23">
                  <c:v>1456</c:v>
                </c:pt>
                <c:pt idx="24">
                  <c:v>1724</c:v>
                </c:pt>
                <c:pt idx="25">
                  <c:v>1724</c:v>
                </c:pt>
                <c:pt idx="26">
                  <c:v>1611</c:v>
                </c:pt>
                <c:pt idx="27">
                  <c:v>1748</c:v>
                </c:pt>
                <c:pt idx="28">
                  <c:v>1920</c:v>
                </c:pt>
                <c:pt idx="29">
                  <c:v>1778</c:v>
                </c:pt>
                <c:pt idx="30">
                  <c:v>1457</c:v>
                </c:pt>
                <c:pt idx="31">
                  <c:v>1577.5</c:v>
                </c:pt>
                <c:pt idx="32">
                  <c:v>1577.5</c:v>
                </c:pt>
                <c:pt idx="33">
                  <c:v>1526</c:v>
                </c:pt>
                <c:pt idx="34">
                  <c:v>1571</c:v>
                </c:pt>
                <c:pt idx="35">
                  <c:v>1639</c:v>
                </c:pt>
                <c:pt idx="36">
                  <c:v>1825</c:v>
                </c:pt>
                <c:pt idx="37">
                  <c:v>1653</c:v>
                </c:pt>
                <c:pt idx="38">
                  <c:v>2029</c:v>
                </c:pt>
                <c:pt idx="39">
                  <c:v>2029</c:v>
                </c:pt>
                <c:pt idx="40">
                  <c:v>1274</c:v>
                </c:pt>
                <c:pt idx="41">
                  <c:v>1380</c:v>
                </c:pt>
                <c:pt idx="42">
                  <c:v>1409</c:v>
                </c:pt>
                <c:pt idx="43">
                  <c:v>1599</c:v>
                </c:pt>
                <c:pt idx="44">
                  <c:v>1268</c:v>
                </c:pt>
                <c:pt idx="45">
                  <c:v>1139.5</c:v>
                </c:pt>
                <c:pt idx="46">
                  <c:v>1139.5</c:v>
                </c:pt>
                <c:pt idx="47">
                  <c:v>1176</c:v>
                </c:pt>
                <c:pt idx="48">
                  <c:v>1122</c:v>
                </c:pt>
                <c:pt idx="49">
                  <c:v>1209</c:v>
                </c:pt>
                <c:pt idx="50">
                  <c:v>1113</c:v>
                </c:pt>
                <c:pt idx="51">
                  <c:v>1263</c:v>
                </c:pt>
                <c:pt idx="52">
                  <c:v>1104</c:v>
                </c:pt>
                <c:pt idx="53">
                  <c:v>1104</c:v>
                </c:pt>
                <c:pt idx="54">
                  <c:v>1040</c:v>
                </c:pt>
                <c:pt idx="55">
                  <c:v>1030</c:v>
                </c:pt>
                <c:pt idx="56">
                  <c:v>1182</c:v>
                </c:pt>
                <c:pt idx="57">
                  <c:v>1156</c:v>
                </c:pt>
                <c:pt idx="58">
                  <c:v>1110</c:v>
                </c:pt>
                <c:pt idx="59">
                  <c:v>1060</c:v>
                </c:pt>
                <c:pt idx="60">
                  <c:v>1060</c:v>
                </c:pt>
                <c:pt idx="61">
                  <c:v>937</c:v>
                </c:pt>
                <c:pt idx="62">
                  <c:v>872</c:v>
                </c:pt>
                <c:pt idx="63">
                  <c:v>993</c:v>
                </c:pt>
                <c:pt idx="64">
                  <c:v>906</c:v>
                </c:pt>
                <c:pt idx="65">
                  <c:v>772</c:v>
                </c:pt>
                <c:pt idx="66">
                  <c:v>757.5</c:v>
                </c:pt>
                <c:pt idx="67">
                  <c:v>757.5</c:v>
                </c:pt>
                <c:pt idx="68">
                  <c:v>705</c:v>
                </c:pt>
                <c:pt idx="69">
                  <c:v>675</c:v>
                </c:pt>
                <c:pt idx="70">
                  <c:v>641</c:v>
                </c:pt>
                <c:pt idx="71">
                  <c:v>609</c:v>
                </c:pt>
                <c:pt idx="72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1-49C8-8444-E84FB4A0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047096"/>
        <c:axId val="312063496"/>
      </c:areaChart>
      <c:areaChart>
        <c:grouping val="standard"/>
        <c:varyColors val="0"/>
        <c:ser>
          <c:idx val="1"/>
          <c:order val="1"/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cat>
            <c:strRef>
              <c:f>'Graph Data'!$B$126:$B$198</c:f>
              <c:strCache>
                <c:ptCount val="73"/>
                <c:pt idx="0">
                  <c:v>Canada</c:v>
                </c:pt>
                <c:pt idx="1">
                  <c:v>27/03/2020</c:v>
                </c:pt>
                <c:pt idx="2">
                  <c:v>28/03/2020</c:v>
                </c:pt>
                <c:pt idx="3">
                  <c:v>29/03/2020</c:v>
                </c:pt>
                <c:pt idx="4">
                  <c:v>30/03/2020</c:v>
                </c:pt>
                <c:pt idx="5">
                  <c:v>31/03/2020</c:v>
                </c:pt>
                <c:pt idx="6">
                  <c:v>01/04/2020</c:v>
                </c:pt>
                <c:pt idx="7">
                  <c:v>02/04/2020</c:v>
                </c:pt>
                <c:pt idx="8">
                  <c:v>03/04/2020</c:v>
                </c:pt>
                <c:pt idx="9">
                  <c:v>04/04/2020</c:v>
                </c:pt>
                <c:pt idx="10">
                  <c:v>05/04/2020</c:v>
                </c:pt>
                <c:pt idx="11">
                  <c:v>06/04/2020</c:v>
                </c:pt>
                <c:pt idx="12">
                  <c:v>07/04/2020</c:v>
                </c:pt>
                <c:pt idx="13">
                  <c:v>08/04/2020</c:v>
                </c:pt>
                <c:pt idx="14">
                  <c:v>09/04/2020</c:v>
                </c:pt>
                <c:pt idx="15">
                  <c:v>10/04/2020</c:v>
                </c:pt>
                <c:pt idx="16">
                  <c:v>11/04/2020</c:v>
                </c:pt>
                <c:pt idx="17">
                  <c:v>12/04/2020</c:v>
                </c:pt>
                <c:pt idx="18">
                  <c:v>13/04/2020</c:v>
                </c:pt>
                <c:pt idx="19">
                  <c:v>14/04/2020</c:v>
                </c:pt>
                <c:pt idx="20">
                  <c:v>15/04/2020</c:v>
                </c:pt>
                <c:pt idx="21">
                  <c:v>16/04/2020</c:v>
                </c:pt>
                <c:pt idx="22">
                  <c:v>17/04/2020</c:v>
                </c:pt>
                <c:pt idx="23">
                  <c:v>18/04/2020</c:v>
                </c:pt>
                <c:pt idx="24">
                  <c:v>19/04/2020</c:v>
                </c:pt>
                <c:pt idx="25">
                  <c:v>20/04/2020</c:v>
                </c:pt>
                <c:pt idx="26">
                  <c:v>21/04/2020</c:v>
                </c:pt>
                <c:pt idx="27">
                  <c:v>22/04/2020</c:v>
                </c:pt>
                <c:pt idx="28">
                  <c:v>23/04/2020</c:v>
                </c:pt>
                <c:pt idx="29">
                  <c:v>24/04/2020</c:v>
                </c:pt>
                <c:pt idx="30">
                  <c:v>25/04/2020</c:v>
                </c:pt>
                <c:pt idx="31">
                  <c:v>26/04/2020</c:v>
                </c:pt>
                <c:pt idx="32">
                  <c:v>27/04/2020</c:v>
                </c:pt>
                <c:pt idx="33">
                  <c:v>28/04/2020</c:v>
                </c:pt>
                <c:pt idx="34">
                  <c:v>29/04/2020</c:v>
                </c:pt>
                <c:pt idx="35">
                  <c:v>30/04/2020</c:v>
                </c:pt>
                <c:pt idx="36">
                  <c:v>01/05/2020</c:v>
                </c:pt>
                <c:pt idx="37">
                  <c:v>02/05/2020</c:v>
                </c:pt>
                <c:pt idx="38">
                  <c:v>03/05/2020</c:v>
                </c:pt>
                <c:pt idx="39">
                  <c:v>04/05/2020</c:v>
                </c:pt>
                <c:pt idx="40">
                  <c:v>05/05/2020</c:v>
                </c:pt>
                <c:pt idx="41">
                  <c:v>06/05/2020</c:v>
                </c:pt>
                <c:pt idx="42">
                  <c:v>07/05/2020</c:v>
                </c:pt>
                <c:pt idx="43">
                  <c:v>08/05/2020</c:v>
                </c:pt>
                <c:pt idx="44">
                  <c:v>09/05/2020</c:v>
                </c:pt>
                <c:pt idx="45">
                  <c:v>10/05/2020</c:v>
                </c:pt>
                <c:pt idx="46">
                  <c:v>11/05/2020</c:v>
                </c:pt>
                <c:pt idx="47">
                  <c:v>12/05/2020</c:v>
                </c:pt>
                <c:pt idx="48">
                  <c:v>13/05/2020</c:v>
                </c:pt>
                <c:pt idx="49">
                  <c:v>14/05/2020</c:v>
                </c:pt>
                <c:pt idx="50">
                  <c:v>15/05/2020</c:v>
                </c:pt>
                <c:pt idx="51">
                  <c:v>16/05/2020</c:v>
                </c:pt>
                <c:pt idx="52">
                  <c:v>17/05/2020</c:v>
                </c:pt>
                <c:pt idx="53">
                  <c:v>18/05/2020</c:v>
                </c:pt>
                <c:pt idx="54">
                  <c:v>19/05/2020</c:v>
                </c:pt>
                <c:pt idx="55">
                  <c:v>20/05/2020</c:v>
                </c:pt>
                <c:pt idx="56">
                  <c:v>21/05/2020</c:v>
                </c:pt>
                <c:pt idx="57">
                  <c:v>22/05/2020</c:v>
                </c:pt>
                <c:pt idx="58">
                  <c:v>23/05/2020</c:v>
                </c:pt>
                <c:pt idx="59">
                  <c:v>24/05/2020</c:v>
                </c:pt>
                <c:pt idx="60">
                  <c:v>25/05/2020</c:v>
                </c:pt>
                <c:pt idx="61">
                  <c:v>26/05/2020</c:v>
                </c:pt>
                <c:pt idx="62">
                  <c:v>27/05/2020</c:v>
                </c:pt>
                <c:pt idx="63">
                  <c:v>28/05/2020</c:v>
                </c:pt>
                <c:pt idx="64">
                  <c:v>29/05/2020</c:v>
                </c:pt>
                <c:pt idx="65">
                  <c:v>30/05/2020</c:v>
                </c:pt>
                <c:pt idx="66">
                  <c:v>31/05/2020</c:v>
                </c:pt>
                <c:pt idx="67">
                  <c:v>01/06/2020</c:v>
                </c:pt>
                <c:pt idx="68">
                  <c:v>02/06/2020</c:v>
                </c:pt>
                <c:pt idx="69">
                  <c:v>03/06/2020</c:v>
                </c:pt>
                <c:pt idx="70">
                  <c:v>04/06/2020</c:v>
                </c:pt>
                <c:pt idx="71">
                  <c:v>05/06/2020</c:v>
                </c:pt>
                <c:pt idx="72">
                  <c:v>06/06/2020</c:v>
                </c:pt>
              </c:strCache>
            </c:strRef>
          </c:cat>
          <c:val>
            <c:numRef>
              <c:f>'Graph Data'!$M$126:$M$198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92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53</c:v>
                </c:pt>
                <c:pt idx="7">
                  <c:v>55</c:v>
                </c:pt>
                <c:pt idx="8">
                  <c:v>53</c:v>
                </c:pt>
                <c:pt idx="9">
                  <c:v>29</c:v>
                </c:pt>
                <c:pt idx="10">
                  <c:v>31.5</c:v>
                </c:pt>
                <c:pt idx="11">
                  <c:v>31.5</c:v>
                </c:pt>
                <c:pt idx="12">
                  <c:v>25</c:v>
                </c:pt>
                <c:pt idx="13">
                  <c:v>45</c:v>
                </c:pt>
                <c:pt idx="14">
                  <c:v>40</c:v>
                </c:pt>
                <c:pt idx="15">
                  <c:v>34</c:v>
                </c:pt>
                <c:pt idx="16">
                  <c:v>35</c:v>
                </c:pt>
                <c:pt idx="17">
                  <c:v>22.5</c:v>
                </c:pt>
                <c:pt idx="18">
                  <c:v>22.5</c:v>
                </c:pt>
                <c:pt idx="19">
                  <c:v>27</c:v>
                </c:pt>
                <c:pt idx="20">
                  <c:v>44</c:v>
                </c:pt>
                <c:pt idx="21">
                  <c:v>14</c:v>
                </c:pt>
                <c:pt idx="22">
                  <c:v>43</c:v>
                </c:pt>
                <c:pt idx="23">
                  <c:v>29</c:v>
                </c:pt>
                <c:pt idx="24">
                  <c:v>26</c:v>
                </c:pt>
                <c:pt idx="25">
                  <c:v>26</c:v>
                </c:pt>
                <c:pt idx="26">
                  <c:v>25</c:v>
                </c:pt>
                <c:pt idx="27">
                  <c:v>71</c:v>
                </c:pt>
                <c:pt idx="28">
                  <c:v>29</c:v>
                </c:pt>
                <c:pt idx="29">
                  <c:v>29</c:v>
                </c:pt>
                <c:pt idx="30">
                  <c:v>95</c:v>
                </c:pt>
                <c:pt idx="31">
                  <c:v>25</c:v>
                </c:pt>
                <c:pt idx="32">
                  <c:v>25</c:v>
                </c:pt>
                <c:pt idx="33">
                  <c:v>55</c:v>
                </c:pt>
                <c:pt idx="34">
                  <c:v>34</c:v>
                </c:pt>
                <c:pt idx="35">
                  <c:v>25</c:v>
                </c:pt>
                <c:pt idx="36">
                  <c:v>0</c:v>
                </c:pt>
                <c:pt idx="37">
                  <c:v>33</c:v>
                </c:pt>
                <c:pt idx="38">
                  <c:v>39.5</c:v>
                </c:pt>
                <c:pt idx="39">
                  <c:v>39.5</c:v>
                </c:pt>
                <c:pt idx="40">
                  <c:v>8</c:v>
                </c:pt>
                <c:pt idx="41">
                  <c:v>23</c:v>
                </c:pt>
                <c:pt idx="42">
                  <c:v>33</c:v>
                </c:pt>
                <c:pt idx="43">
                  <c:v>27</c:v>
                </c:pt>
                <c:pt idx="44">
                  <c:v>15</c:v>
                </c:pt>
                <c:pt idx="45">
                  <c:v>11.5</c:v>
                </c:pt>
                <c:pt idx="46">
                  <c:v>11.5</c:v>
                </c:pt>
                <c:pt idx="47">
                  <c:v>7</c:v>
                </c:pt>
                <c:pt idx="48">
                  <c:v>16</c:v>
                </c:pt>
                <c:pt idx="49">
                  <c:v>16</c:v>
                </c:pt>
                <c:pt idx="50">
                  <c:v>15</c:v>
                </c:pt>
                <c:pt idx="51">
                  <c:v>21</c:v>
                </c:pt>
                <c:pt idx="52">
                  <c:v>8</c:v>
                </c:pt>
                <c:pt idx="53">
                  <c:v>8</c:v>
                </c:pt>
                <c:pt idx="54">
                  <c:v>2</c:v>
                </c:pt>
                <c:pt idx="55">
                  <c:v>21</c:v>
                </c:pt>
                <c:pt idx="56">
                  <c:v>12</c:v>
                </c:pt>
                <c:pt idx="57">
                  <c:v>28</c:v>
                </c:pt>
                <c:pt idx="58">
                  <c:v>10</c:v>
                </c:pt>
                <c:pt idx="59">
                  <c:v>6</c:v>
                </c:pt>
                <c:pt idx="60">
                  <c:v>6</c:v>
                </c:pt>
                <c:pt idx="61">
                  <c:v>12</c:v>
                </c:pt>
                <c:pt idx="62">
                  <c:v>9</c:v>
                </c:pt>
                <c:pt idx="63">
                  <c:v>8</c:v>
                </c:pt>
                <c:pt idx="64">
                  <c:v>4</c:v>
                </c:pt>
                <c:pt idx="65">
                  <c:v>11</c:v>
                </c:pt>
                <c:pt idx="66">
                  <c:v>12</c:v>
                </c:pt>
                <c:pt idx="67">
                  <c:v>12</c:v>
                </c:pt>
                <c:pt idx="68">
                  <c:v>4</c:v>
                </c:pt>
                <c:pt idx="69">
                  <c:v>22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E1-49C8-8444-E84FB4A0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715360"/>
        <c:axId val="528716344"/>
      </c:areaChart>
      <c:catAx>
        <c:axId val="312047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Algn val="ctr"/>
        <c:lblOffset val="100"/>
        <c:noMultiLvlLbl val="0"/>
      </c:catAx>
      <c:valAx>
        <c:axId val="312063496"/>
        <c:scaling>
          <c:orientation val="minMax"/>
          <c:max val="2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midCat"/>
      </c:valAx>
      <c:valAx>
        <c:axId val="528716344"/>
        <c:scaling>
          <c:orientation val="minMax"/>
          <c:max val="32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715360"/>
        <c:crosses val="max"/>
        <c:crossBetween val="midCat"/>
      </c:valAx>
      <c:catAx>
        <c:axId val="5287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8716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Deaths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37-4590-802F-F4D0A5281B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37-4590-802F-F4D0A5281B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37-4590-802F-F4D0A5281B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637-4590-802F-F4D0A5281B8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637-4590-802F-F4D0A5281B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637-4590-802F-F4D0A5281B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637-4590-802F-F4D0A5281B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637-4590-802F-F4D0A5281B8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637-4590-802F-F4D0A5281B8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637-4590-802F-F4D0A5281B86}"/>
              </c:ext>
            </c:extLst>
          </c:dPt>
          <c:dLbls>
            <c:dLbl>
              <c:idx val="3"/>
              <c:layout>
                <c:manualLayout>
                  <c:x val="-7.1058212630828552E-2"/>
                  <c:y val="8.78586379234241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37-4590-802F-F4D0A5281B86}"/>
                </c:ext>
              </c:extLst>
            </c:dLbl>
            <c:dLbl>
              <c:idx val="4"/>
              <c:layout>
                <c:manualLayout>
                  <c:x val="-1.5777842584491903E-2"/>
                  <c:y val="-8.235442088726251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37-4590-802F-F4D0A5281B86}"/>
                </c:ext>
              </c:extLst>
            </c:dLbl>
            <c:dLbl>
              <c:idx val="5"/>
              <c:layout>
                <c:manualLayout>
                  <c:x val="3.9087035416869191E-2"/>
                  <c:y val="2.29141452255176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637-4590-802F-F4D0A5281B86}"/>
                </c:ext>
              </c:extLst>
            </c:dLbl>
            <c:dLbl>
              <c:idx val="6"/>
              <c:layout>
                <c:manualLayout>
                  <c:x val="-7.4548864262337658E-2"/>
                  <c:y val="2.8970587537317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637-4590-802F-F4D0A5281B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637-4590-802F-F4D0A5281B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637-4590-802F-F4D0A5281B8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Data!$B$927:$B$936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Data!$O$927:$O$936</c:f>
              <c:numCache>
                <c:formatCode>0.00</c:formatCode>
                <c:ptCount val="10"/>
                <c:pt idx="0">
                  <c:v>187.95847750865053</c:v>
                </c:pt>
                <c:pt idx="1">
                  <c:v>666.66666666666674</c:v>
                </c:pt>
                <c:pt idx="2">
                  <c:v>37.250996015936259</c:v>
                </c:pt>
                <c:pt idx="3">
                  <c:v>36.866359447004612</c:v>
                </c:pt>
                <c:pt idx="4">
                  <c:v>5.1470588235294112</c:v>
                </c:pt>
                <c:pt idx="5">
                  <c:v>12.820512820512821</c:v>
                </c:pt>
                <c:pt idx="6">
                  <c:v>65.284974093264253</c:v>
                </c:pt>
                <c:pt idx="7">
                  <c:v>2.5906735751295336</c:v>
                </c:pt>
                <c:pt idx="8">
                  <c:v>0</c:v>
                </c:pt>
                <c:pt idx="9">
                  <c:v>5.7251908396946565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637-4590-802F-F4D0A5281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Total Deaths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E3-44B1-890B-727BD141F5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E3-44B1-890B-727BD141F5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E3-44B1-890B-727BD141F5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0E3-44B1-890B-727BD141F5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0E3-44B1-890B-727BD141F5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0E3-44B1-890B-727BD141F5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0E3-44B1-890B-727BD141F50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0E3-44B1-890B-727BD141F50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0E3-44B1-890B-727BD141F50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0E3-44B1-890B-727BD141F502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E3-44B1-890B-727BD141F50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E3-44B1-890B-727BD141F50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baseline="0"/>
                      <a:t>Rest
</a:t>
                    </a:r>
                    <a:fld id="{11667EBE-AB44-44B1-8683-A810977C3F7B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80E3-44B1-890B-727BD141F50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0E3-44B1-890B-727BD141F50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0E3-44B1-890B-727BD141F50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0E3-44B1-890B-727BD141F502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Data!$B$857:$B$866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Data!$F$857:$F$866</c:f>
              <c:numCache>
                <c:formatCode>_-* #,##0_-;\-* #,##0_-;_-* "-"??_-;_-@_-</c:formatCode>
                <c:ptCount val="10"/>
                <c:pt idx="0">
                  <c:v>2407</c:v>
                </c:pt>
                <c:pt idx="1">
                  <c:v>4970</c:v>
                </c:pt>
                <c:pt idx="2">
                  <c:v>167</c:v>
                </c:pt>
                <c:pt idx="3">
                  <c:v>146</c:v>
                </c:pt>
                <c:pt idx="4">
                  <c:v>7</c:v>
                </c:pt>
                <c:pt idx="5">
                  <c:v>11</c:v>
                </c:pt>
                <c:pt idx="6">
                  <c:v>61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0E3-44B1-890B-727BD141F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Deaths Per Capita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A0-43D4-B6CE-E3BA945E8D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A0-43D4-B6CE-E3BA945E8D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A0-43D4-B6CE-E3BA945E8D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A0-43D4-B6CE-E3BA945E8D2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A0-43D4-B6CE-E3BA945E8D2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A0-43D4-B6CE-E3BA945E8D2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A0-43D4-B6CE-E3BA945E8D2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A0-43D4-B6CE-E3BA945E8D2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A0-43D4-B6CE-E3BA945E8D2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7A0-43D4-B6CE-E3BA945E8D24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A0-43D4-B6CE-E3BA945E8D2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Rest</a:t>
                    </a:r>
                    <a:r>
                      <a:rPr lang="en-US" baseline="0"/>
                      <a:t>
2%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A0-43D4-B6CE-E3BA945E8D2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A0-43D4-B6CE-E3BA945E8D2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A0-43D4-B6CE-E3BA945E8D2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A0-43D4-B6CE-E3BA945E8D2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Data!$B$857:$B$866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Data!$O$857:$O$866</c:f>
              <c:numCache>
                <c:formatCode>0.00</c:formatCode>
                <c:ptCount val="10"/>
                <c:pt idx="0">
                  <c:v>166.57439446366783</c:v>
                </c:pt>
                <c:pt idx="1">
                  <c:v>589.56109134045084</c:v>
                </c:pt>
                <c:pt idx="2">
                  <c:v>33.266932270916335</c:v>
                </c:pt>
                <c:pt idx="3">
                  <c:v>33.640552995391708</c:v>
                </c:pt>
                <c:pt idx="4">
                  <c:v>5.1470588235294112</c:v>
                </c:pt>
                <c:pt idx="5">
                  <c:v>9.4017094017094021</c:v>
                </c:pt>
                <c:pt idx="6">
                  <c:v>63.212435233160626</c:v>
                </c:pt>
                <c:pt idx="7">
                  <c:v>1.2953367875647668</c:v>
                </c:pt>
                <c:pt idx="8">
                  <c:v>0</c:v>
                </c:pt>
                <c:pt idx="9">
                  <c:v>5.7251908396946565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7A0-43D4-B6CE-E3BA945E8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Active Cases Per Capita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EF-43C9-B008-C1D1684963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EF-43C9-B008-C1D1684963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EF-43C9-B008-C1D16849632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EF-43C9-B008-C1D16849632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CEF-43C9-B008-C1D16849632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CEF-43C9-B008-C1D16849632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CEF-43C9-B008-C1D16849632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CEF-43C9-B008-C1D16849632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CEF-43C9-B008-C1D16849632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CEF-43C9-B008-C1D168496325}"/>
              </c:ext>
            </c:extLst>
          </c:dPt>
          <c:dLbls>
            <c:dLbl>
              <c:idx val="0"/>
              <c:layout>
                <c:manualLayout>
                  <c:x val="-7.0839651987945951E-2"/>
                  <c:y val="2.19112642565248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EF-43C9-B008-C1D168496325}"/>
                </c:ext>
              </c:extLst>
            </c:dLbl>
            <c:dLbl>
              <c:idx val="3"/>
              <c:layout>
                <c:manualLayout>
                  <c:x val="3.5117786202650596E-2"/>
                  <c:y val="1.21520411214420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F-43C9-B008-C1D1684963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F-43C9-B008-C1D168496325}"/>
                </c:ext>
              </c:extLst>
            </c:dLbl>
            <c:dLbl>
              <c:idx val="5"/>
              <c:layout>
                <c:manualLayout>
                  <c:x val="8.0246913580246743E-2"/>
                  <c:y val="5.63524891667022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n-US" sz="14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/>
                      <a:t>Rest 1%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814814814814811E-2"/>
                      <c:h val="0.124321880650994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CEF-43C9-B008-C1D1684963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EF-43C9-B008-C1D16849632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EF-43C9-B008-C1D16849632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EF-43C9-B008-C1D16849632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EF-43C9-B008-C1D16849632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Data!$B$857:$B$866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Data!$Q$857:$Q$866</c:f>
              <c:numCache>
                <c:formatCode>0</c:formatCode>
                <c:ptCount val="10"/>
                <c:pt idx="0">
                  <c:v>266.29757785467132</c:v>
                </c:pt>
                <c:pt idx="1">
                  <c:v>3468.8018979833928</c:v>
                </c:pt>
                <c:pt idx="2">
                  <c:v>38.446215139442238</c:v>
                </c:pt>
                <c:pt idx="3">
                  <c:v>77.41935483870968</c:v>
                </c:pt>
                <c:pt idx="4">
                  <c:v>6.617647058823529</c:v>
                </c:pt>
                <c:pt idx="5">
                  <c:v>23.931623931623932</c:v>
                </c:pt>
                <c:pt idx="6">
                  <c:v>3.1088082901554404</c:v>
                </c:pt>
                <c:pt idx="7">
                  <c:v>15.544041450777202</c:v>
                </c:pt>
                <c:pt idx="8">
                  <c:v>0</c:v>
                </c:pt>
                <c:pt idx="9">
                  <c:v>3.8167938931297707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CEF-43C9-B008-C1D168496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New Cases Per Capita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2A-4148-964A-441CB1DEF2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2A-4148-964A-441CB1DEF2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2A-4148-964A-441CB1DEF2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92A-4148-964A-441CB1DEF2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92A-4148-964A-441CB1DEF2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92A-4148-964A-441CB1DEF2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92A-4148-964A-441CB1DEF25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92A-4148-964A-441CB1DEF25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92A-4148-964A-441CB1DEF25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92A-4148-964A-441CB1DEF255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2A-4148-964A-441CB1DEF2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2A-4148-964A-441CB1DEF25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2A-4148-964A-441CB1DEF25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92A-4148-964A-441CB1DEF25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92A-4148-964A-441CB1DEF25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Data!$B$857:$B$866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Data!$S$857:$S$866</c:f>
              <c:numCache>
                <c:formatCode>_-* #,##0_-;\-* #,##0_-;_-* "-"??_-;_-@_-</c:formatCode>
                <c:ptCount val="10"/>
                <c:pt idx="0">
                  <c:v>31.487889273356402</c:v>
                </c:pt>
                <c:pt idx="1">
                  <c:v>26.809015421115067</c:v>
                </c:pt>
                <c:pt idx="2">
                  <c:v>0</c:v>
                </c:pt>
                <c:pt idx="3">
                  <c:v>9.216589861751153</c:v>
                </c:pt>
                <c:pt idx="4">
                  <c:v>0</c:v>
                </c:pt>
                <c:pt idx="5">
                  <c:v>0.85470085470085477</c:v>
                </c:pt>
                <c:pt idx="6">
                  <c:v>2.0725388601036272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92A-4148-964A-441CB1DEF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Estimated Infection Level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Data!$X$772</c:f>
              <c:strCache>
                <c:ptCount val="1"/>
                <c:pt idx="0">
                  <c:v>Immunity Level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AA-40D3-8268-128E03629A0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AA-40D3-8268-128E03629A0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AA-40D3-8268-128E03629A08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AA-40D3-8268-128E03629A08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AA-40D3-8268-128E03629A0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AA-40D3-8268-128E03629A0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AA-40D3-8268-128E03629A0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AA-40D3-8268-128E03629A0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8AA-40D3-8268-128E03629A08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8AA-40D3-8268-128E03629A0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8AA-40D3-8268-128E03629A08}"/>
              </c:ext>
            </c:extLst>
          </c:dPt>
          <c:cat>
            <c:strRef>
              <c:f>Data!$V$773:$V$784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Data!$X$773:$X$784</c:f>
              <c:numCache>
                <c:formatCode>0.0%</c:formatCode>
                <c:ptCount val="12"/>
                <c:pt idx="0">
                  <c:v>2.3815711566422908E-2</c:v>
                </c:pt>
                <c:pt idx="1">
                  <c:v>7.0646273760919823E-2</c:v>
                </c:pt>
                <c:pt idx="2">
                  <c:v>1.1039401646907705E-2</c:v>
                </c:pt>
                <c:pt idx="3">
                  <c:v>1.6489802458611563E-2</c:v>
                </c:pt>
                <c:pt idx="4">
                  <c:v>4.1469487616356375E-3</c:v>
                </c:pt>
                <c:pt idx="5">
                  <c:v>8.3050131234425496E-3</c:v>
                </c:pt>
                <c:pt idx="6">
                  <c:v>1.5092024547257679E-2</c:v>
                </c:pt>
                <c:pt idx="7">
                  <c:v>3.1470011525143544E-3</c:v>
                </c:pt>
                <c:pt idx="8">
                  <c:v>2.5974092556228104E-3</c:v>
                </c:pt>
                <c:pt idx="9">
                  <c:v>1.3090770847809451E-2</c:v>
                </c:pt>
                <c:pt idx="10">
                  <c:v>3.1982269503546094E-2</c:v>
                </c:pt>
                <c:pt idx="11">
                  <c:v>6.4250875103330371E-2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8AA-40D3-8268-128E03629A08}"/>
            </c:ext>
          </c:extLst>
        </c:ser>
        <c:ser>
          <c:idx val="1"/>
          <c:order val="1"/>
          <c:tx>
            <c:strRef>
              <c:f>Data!$AB$772</c:f>
              <c:strCache>
                <c:ptCount val="1"/>
                <c:pt idx="0">
                  <c:v>Last Month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A8AA-40D3-8268-128E03629A08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A8AA-40D3-8268-128E03629A08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A8AA-40D3-8268-128E03629A08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030A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A8AA-40D3-8268-128E03629A08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A8AA-40D3-8268-128E03629A08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A8AA-40D3-8268-128E03629A08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A8AA-40D3-8268-128E03629A08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A8AA-40D3-8268-128E03629A08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A8AA-40D3-8268-128E03629A08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A8AA-40D3-8268-128E03629A08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A8AA-40D3-8268-128E03629A08}"/>
              </c:ext>
            </c:extLst>
          </c:dPt>
          <c:cat>
            <c:strRef>
              <c:f>Data!$V$773:$V$784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Data!$AB$773:$AB$784</c:f>
              <c:numCache>
                <c:formatCode>0.0%</c:formatCode>
                <c:ptCount val="12"/>
                <c:pt idx="0">
                  <c:v>1.7241826814982299E-2</c:v>
                </c:pt>
                <c:pt idx="1">
                  <c:v>3.7848855710821298E-2</c:v>
                </c:pt>
                <c:pt idx="2">
                  <c:v>7.483625169760073E-3</c:v>
                </c:pt>
                <c:pt idx="3">
                  <c:v>1.0628481034177096E-2</c:v>
                </c:pt>
                <c:pt idx="4">
                  <c:v>3.2747282000032E-3</c:v>
                </c:pt>
                <c:pt idx="5">
                  <c:v>3.8793273369538426E-3</c:v>
                </c:pt>
                <c:pt idx="6">
                  <c:v>9.6014398578835869E-3</c:v>
                </c:pt>
                <c:pt idx="7">
                  <c:v>2.5462876878210813E-3</c:v>
                </c:pt>
                <c:pt idx="8">
                  <c:v>2.7028045766656337E-3</c:v>
                </c:pt>
                <c:pt idx="9">
                  <c:v>9.1053651262980352E-3</c:v>
                </c:pt>
                <c:pt idx="10">
                  <c:v>1.8878014184397163E-2</c:v>
                </c:pt>
                <c:pt idx="11">
                  <c:v>5.1341378249554821E-2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A8AA-40D3-8268-128E03629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0"/>
        <c:axId val="296235904"/>
        <c:axId val="296237216"/>
      </c:barChart>
      <c:catAx>
        <c:axId val="29623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37216"/>
        <c:crosses val="autoZero"/>
        <c:auto val="1"/>
        <c:lblAlgn val="ctr"/>
        <c:lblOffset val="100"/>
        <c:noMultiLvlLbl val="0"/>
      </c:catAx>
      <c:valAx>
        <c:axId val="296237216"/>
        <c:scaling>
          <c:orientation val="minMax"/>
          <c:max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3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Active Cases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3B-402D-81F5-13116E526A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3B-402D-81F5-13116E526A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3B-402D-81F5-13116E526A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63B-402D-81F5-13116E526A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63B-402D-81F5-13116E526A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63B-402D-81F5-13116E526A6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63B-402D-81F5-13116E526A6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63B-402D-81F5-13116E526A6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63B-402D-81F5-13116E526A6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63B-402D-81F5-13116E526A67}"/>
              </c:ext>
            </c:extLst>
          </c:dPt>
          <c:dLbls>
            <c:dLbl>
              <c:idx val="2"/>
              <c:layout>
                <c:manualLayout>
                  <c:x val="-2.490700236544521E-2"/>
                  <c:y val="-5.93247046650813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3B-402D-81F5-13116E526A67}"/>
                </c:ext>
              </c:extLst>
            </c:dLbl>
            <c:dLbl>
              <c:idx val="3"/>
              <c:layout>
                <c:manualLayout>
                  <c:x val="7.3594504390654871E-3"/>
                  <c:y val="3.29548205208526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3B-402D-81F5-13116E526A67}"/>
                </c:ext>
              </c:extLst>
            </c:dLbl>
            <c:dLbl>
              <c:idx val="4"/>
              <c:layout>
                <c:manualLayout>
                  <c:x val="5.9448494864067919E-2"/>
                  <c:y val="8.32488502228360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Rest</a:t>
                    </a:r>
                    <a:r>
                      <a:rPr lang="en-US" baseline="0"/>
                      <a:t>
&lt;1%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3B-402D-81F5-13116E526A6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3B-402D-81F5-13116E526A6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3B-402D-81F5-13116E526A6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3B-402D-81F5-13116E526A6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3B-402D-81F5-13116E526A6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3B-402D-81F5-13116E526A6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Data!$B$773:$B$782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Data!$H$773:$H$782</c:f>
              <c:numCache>
                <c:formatCode>_-* #,##0_-;\-* #,##0_-;_-* "-"??_-;_-@_-</c:formatCode>
                <c:ptCount val="10"/>
                <c:pt idx="0">
                  <c:v>3933</c:v>
                </c:pt>
                <c:pt idx="1">
                  <c:v>30142</c:v>
                </c:pt>
                <c:pt idx="2">
                  <c:v>228</c:v>
                </c:pt>
                <c:pt idx="3">
                  <c:v>604</c:v>
                </c:pt>
                <c:pt idx="4">
                  <c:v>9</c:v>
                </c:pt>
                <c:pt idx="5">
                  <c:v>55</c:v>
                </c:pt>
                <c:pt idx="6">
                  <c:v>18</c:v>
                </c:pt>
                <c:pt idx="7">
                  <c:v>9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63B-402D-81F5-13116E526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Resolved / Cases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Data!$Y$688</c:f>
              <c:strCache>
                <c:ptCount val="1"/>
                <c:pt idx="0">
                  <c:v>Recovered /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E5-4391-AA98-1247E7DE8591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E5-4391-AA98-1247E7DE859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4E5-4391-AA98-1247E7DE8591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4E5-4391-AA98-1247E7DE8591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4E5-4391-AA98-1247E7DE859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4E5-4391-AA98-1247E7DE859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4E5-4391-AA98-1247E7DE859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4E5-4391-AA98-1247E7DE859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4E5-4391-AA98-1247E7DE8591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4E5-4391-AA98-1247E7DE859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4E5-4391-AA98-1247E7DE8591}"/>
              </c:ext>
            </c:extLst>
          </c:dPt>
          <c:cat>
            <c:strRef>
              <c:f>Data!$V$689:$V$700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Data!$Y$773:$Y$784</c:f>
              <c:numCache>
                <c:formatCode>0%</c:formatCode>
                <c:ptCount val="12"/>
                <c:pt idx="0">
                  <c:v>0.85715323430065737</c:v>
                </c:pt>
                <c:pt idx="1">
                  <c:v>0.40490809658249588</c:v>
                </c:pt>
                <c:pt idx="2">
                  <c:v>0.91138748542557324</c:v>
                </c:pt>
                <c:pt idx="3">
                  <c:v>0.91361556064073224</c:v>
                </c:pt>
                <c:pt idx="4">
                  <c:v>0.96938775510204078</c:v>
                </c:pt>
                <c:pt idx="5">
                  <c:v>0.9147286821705426</c:v>
                </c:pt>
                <c:pt idx="6">
                  <c:v>0.98295454545454541</c:v>
                </c:pt>
                <c:pt idx="7">
                  <c:v>0.93023255813953487</c:v>
                </c:pt>
                <c:pt idx="8">
                  <c:v>1</c:v>
                </c:pt>
                <c:pt idx="9">
                  <c:v>0.9885057471264368</c:v>
                </c:pt>
                <c:pt idx="10">
                  <c:v>0.61177514136822264</c:v>
                </c:pt>
                <c:pt idx="11">
                  <c:v>0.3498708481478105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4E5-4391-AA98-1247E7DE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2047096"/>
        <c:axId val="312063496"/>
      </c:barChart>
      <c:catAx>
        <c:axId val="312047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Algn val="ctr"/>
        <c:lblOffset val="100"/>
        <c:noMultiLvlLbl val="0"/>
      </c:catAx>
      <c:valAx>
        <c:axId val="3120634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Mortality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52564725705582"/>
          <c:y val="0.13434676155498712"/>
          <c:w val="0.79301659051877793"/>
          <c:h val="0.778639410091887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Data!$Z$772</c:f>
              <c:strCache>
                <c:ptCount val="1"/>
                <c:pt idx="0">
                  <c:v>Deceased / Resolved (OFR)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399A-4858-9614-BEB9621C9B2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9A-4858-9614-BEB9621C9B2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9A-4858-9614-BEB9621C9B27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9A-4858-9614-BEB9621C9B27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9A-4858-9614-BEB9621C9B2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9A-4858-9614-BEB9621C9B2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9A-4858-9614-BEB9621C9B27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9A-4858-9614-BEB9621C9B2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9A-4858-9614-BEB9621C9B27}"/>
              </c:ext>
            </c:extLst>
          </c:dPt>
          <c:cat>
            <c:strRef>
              <c:f>Data!$V$773:$V$784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Data!$Z$773:$Z$784</c:f>
              <c:numCache>
                <c:formatCode>0%</c:formatCode>
                <c:ptCount val="12"/>
                <c:pt idx="0">
                  <c:v>9.5211864406779659E-2</c:v>
                </c:pt>
                <c:pt idx="1">
                  <c:v>0.21644156224096739</c:v>
                </c:pt>
                <c:pt idx="2">
                  <c:v>6.9936034115138587E-2</c:v>
                </c:pt>
                <c:pt idx="3">
                  <c:v>2.2385723231058235E-2</c:v>
                </c:pt>
                <c:pt idx="4">
                  <c:v>2.456140350877193E-2</c:v>
                </c:pt>
                <c:pt idx="5">
                  <c:v>1.6949152542372881E-2</c:v>
                </c:pt>
                <c:pt idx="6">
                  <c:v>5.7803468208092484E-2</c:v>
                </c:pt>
                <c:pt idx="7">
                  <c:v>0</c:v>
                </c:pt>
                <c:pt idx="8">
                  <c:v>0</c:v>
                </c:pt>
                <c:pt idx="9">
                  <c:v>1.1627906976744186E-2</c:v>
                </c:pt>
                <c:pt idx="10">
                  <c:v>0.12818979266347688</c:v>
                </c:pt>
                <c:pt idx="11">
                  <c:v>0.16618237406549952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99A-4858-9614-BEB9621C9B27}"/>
            </c:ext>
          </c:extLst>
        </c:ser>
        <c:ser>
          <c:idx val="1"/>
          <c:order val="1"/>
          <c:tx>
            <c:strRef>
              <c:f>Data!$AA$772</c:f>
              <c:strCache>
                <c:ptCount val="1"/>
                <c:pt idx="0">
                  <c:v>Deceased / Case (CFR)</c:v>
                </c:pt>
              </c:strCache>
            </c:strRef>
          </c:tx>
          <c:spPr>
            <a:pattFill prst="wdUp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99A-4858-9614-BEB9621C9B27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399A-4858-9614-BEB9621C9B27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99A-4858-9614-BEB9621C9B27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030A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399A-4858-9614-BEB9621C9B27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99A-4858-9614-BEB9621C9B27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399A-4858-9614-BEB9621C9B27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99A-4858-9614-BEB9621C9B27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399A-4858-9614-BEB9621C9B27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99A-4858-9614-BEB9621C9B27}"/>
              </c:ext>
            </c:extLst>
          </c:dPt>
          <c:cat>
            <c:strRef>
              <c:f>Data!$V$773:$V$784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Data!$AA$773:$AA$784</c:f>
              <c:numCache>
                <c:formatCode>0%</c:formatCode>
                <c:ptCount val="12"/>
                <c:pt idx="0">
                  <c:v>8.1611157520066827E-2</c:v>
                </c:pt>
                <c:pt idx="1">
                  <c:v>8.7638940988331915E-2</c:v>
                </c:pt>
                <c:pt idx="2">
                  <c:v>6.3738826272833268E-2</c:v>
                </c:pt>
                <c:pt idx="3">
                  <c:v>2.0451945080091533E-2</c:v>
                </c:pt>
                <c:pt idx="4">
                  <c:v>2.3809523809523808E-2</c:v>
                </c:pt>
                <c:pt idx="5">
                  <c:v>1.5503875968992248E-2</c:v>
                </c:pt>
                <c:pt idx="6">
                  <c:v>5.6818181818181816E-2</c:v>
                </c:pt>
                <c:pt idx="7">
                  <c:v>0</c:v>
                </c:pt>
                <c:pt idx="8">
                  <c:v>0</c:v>
                </c:pt>
                <c:pt idx="9">
                  <c:v>1.1494252873563218E-2</c:v>
                </c:pt>
                <c:pt idx="10">
                  <c:v>7.8423328528661712E-2</c:v>
                </c:pt>
                <c:pt idx="11">
                  <c:v>5.8142368161513025E-2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99A-4858-9614-BEB9621C9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2047096"/>
        <c:axId val="312063496"/>
      </c:barChart>
      <c:catAx>
        <c:axId val="312047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Algn val="ctr"/>
        <c:lblOffset val="100"/>
        <c:noMultiLvlLbl val="0"/>
      </c:catAx>
      <c:valAx>
        <c:axId val="312063496"/>
        <c:scaling>
          <c:orientation val="minMax"/>
          <c:max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0201872914034"/>
          <c:y val="0.39060000666885786"/>
          <c:w val="0.42668027607660164"/>
          <c:h val="0.24100394891654878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New Cases Per Day (Canada and BC)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Data'!$B$126:$B$191</c15:sqref>
                  </c15:fullRef>
                </c:ext>
              </c:extLst>
              <c:f>'Graph Data'!$B$127:$B$191</c:f>
              <c:strCache>
                <c:ptCount val="65"/>
                <c:pt idx="0">
                  <c:v>27/03/2020</c:v>
                </c:pt>
                <c:pt idx="1">
                  <c:v>28/03/2020</c:v>
                </c:pt>
                <c:pt idx="2">
                  <c:v>29/03/2020</c:v>
                </c:pt>
                <c:pt idx="3">
                  <c:v>30/03/2020</c:v>
                </c:pt>
                <c:pt idx="4">
                  <c:v>31/03/2020</c:v>
                </c:pt>
                <c:pt idx="5">
                  <c:v>01/04/2020</c:v>
                </c:pt>
                <c:pt idx="6">
                  <c:v>02/04/2020</c:v>
                </c:pt>
                <c:pt idx="7">
                  <c:v>03/04/2020</c:v>
                </c:pt>
                <c:pt idx="8">
                  <c:v>04/04/2020</c:v>
                </c:pt>
                <c:pt idx="9">
                  <c:v>05/04/2020</c:v>
                </c:pt>
                <c:pt idx="10">
                  <c:v>06/04/2020</c:v>
                </c:pt>
                <c:pt idx="11">
                  <c:v>07/04/2020</c:v>
                </c:pt>
                <c:pt idx="12">
                  <c:v>08/04/2020</c:v>
                </c:pt>
                <c:pt idx="13">
                  <c:v>09/04/2020</c:v>
                </c:pt>
                <c:pt idx="14">
                  <c:v>10/04/2020</c:v>
                </c:pt>
                <c:pt idx="15">
                  <c:v>11/04/2020</c:v>
                </c:pt>
                <c:pt idx="16">
                  <c:v>12/04/2020</c:v>
                </c:pt>
                <c:pt idx="17">
                  <c:v>13/04/2020</c:v>
                </c:pt>
                <c:pt idx="18">
                  <c:v>14/04/2020</c:v>
                </c:pt>
                <c:pt idx="19">
                  <c:v>15/04/2020</c:v>
                </c:pt>
                <c:pt idx="20">
                  <c:v>16/04/2020</c:v>
                </c:pt>
                <c:pt idx="21">
                  <c:v>17/04/2020</c:v>
                </c:pt>
                <c:pt idx="22">
                  <c:v>18/04/2020</c:v>
                </c:pt>
                <c:pt idx="23">
                  <c:v>19/04/2020</c:v>
                </c:pt>
                <c:pt idx="24">
                  <c:v>20/04/2020</c:v>
                </c:pt>
                <c:pt idx="25">
                  <c:v>21/04/2020</c:v>
                </c:pt>
                <c:pt idx="26">
                  <c:v>22/04/2020</c:v>
                </c:pt>
                <c:pt idx="27">
                  <c:v>23/04/2020</c:v>
                </c:pt>
                <c:pt idx="28">
                  <c:v>24/04/2020</c:v>
                </c:pt>
                <c:pt idx="29">
                  <c:v>25/04/2020</c:v>
                </c:pt>
                <c:pt idx="30">
                  <c:v>26/04/2020</c:v>
                </c:pt>
                <c:pt idx="31">
                  <c:v>27/04/2020</c:v>
                </c:pt>
                <c:pt idx="32">
                  <c:v>28/04/2020</c:v>
                </c:pt>
                <c:pt idx="33">
                  <c:v>29/04/2020</c:v>
                </c:pt>
                <c:pt idx="34">
                  <c:v>30/04/2020</c:v>
                </c:pt>
                <c:pt idx="35">
                  <c:v>01/05/2020</c:v>
                </c:pt>
                <c:pt idx="36">
                  <c:v>02/05/2020</c:v>
                </c:pt>
                <c:pt idx="37">
                  <c:v>03/05/2020</c:v>
                </c:pt>
                <c:pt idx="38">
                  <c:v>04/05/2020</c:v>
                </c:pt>
                <c:pt idx="39">
                  <c:v>05/05/2020</c:v>
                </c:pt>
                <c:pt idx="40">
                  <c:v>06/05/2020</c:v>
                </c:pt>
                <c:pt idx="41">
                  <c:v>07/05/2020</c:v>
                </c:pt>
                <c:pt idx="42">
                  <c:v>08/05/2020</c:v>
                </c:pt>
                <c:pt idx="43">
                  <c:v>09/05/2020</c:v>
                </c:pt>
                <c:pt idx="44">
                  <c:v>10/05/2020</c:v>
                </c:pt>
                <c:pt idx="45">
                  <c:v>11/05/2020</c:v>
                </c:pt>
                <c:pt idx="46">
                  <c:v>12/05/2020</c:v>
                </c:pt>
                <c:pt idx="47">
                  <c:v>13/05/2020</c:v>
                </c:pt>
                <c:pt idx="48">
                  <c:v>14/05/2020</c:v>
                </c:pt>
                <c:pt idx="49">
                  <c:v>15/05/2020</c:v>
                </c:pt>
                <c:pt idx="50">
                  <c:v>16/05/2020</c:v>
                </c:pt>
                <c:pt idx="51">
                  <c:v>17/05/2020</c:v>
                </c:pt>
                <c:pt idx="52">
                  <c:v>18/05/2020</c:v>
                </c:pt>
                <c:pt idx="53">
                  <c:v>19/05/2020</c:v>
                </c:pt>
                <c:pt idx="54">
                  <c:v>20/05/2020</c:v>
                </c:pt>
                <c:pt idx="55">
                  <c:v>21/05/2020</c:v>
                </c:pt>
                <c:pt idx="56">
                  <c:v>22/05/2020</c:v>
                </c:pt>
                <c:pt idx="57">
                  <c:v>23/05/2020</c:v>
                </c:pt>
                <c:pt idx="58">
                  <c:v>24/05/2020</c:v>
                </c:pt>
                <c:pt idx="59">
                  <c:v>25/05/2020</c:v>
                </c:pt>
                <c:pt idx="60">
                  <c:v>26/05/2020</c:v>
                </c:pt>
                <c:pt idx="61">
                  <c:v>27/05/2020</c:v>
                </c:pt>
                <c:pt idx="62">
                  <c:v>28/05/2020</c:v>
                </c:pt>
                <c:pt idx="63">
                  <c:v>29/05/2020</c:v>
                </c:pt>
                <c:pt idx="64">
                  <c:v>30/05/2020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Data'!$G$126:$G$191</c15:sqref>
                  </c15:fullRef>
                </c:ext>
              </c:extLst>
              <c:f>'Graph Data'!$G$127:$G$191</c:f>
              <c:numCache>
                <c:formatCode>General</c:formatCode>
                <c:ptCount val="65"/>
                <c:pt idx="0">
                  <c:v>0</c:v>
                </c:pt>
                <c:pt idx="1">
                  <c:v>1141</c:v>
                </c:pt>
                <c:pt idx="2">
                  <c:v>785</c:v>
                </c:pt>
                <c:pt idx="3">
                  <c:v>785</c:v>
                </c:pt>
                <c:pt idx="4">
                  <c:v>1143</c:v>
                </c:pt>
                <c:pt idx="5">
                  <c:v>1141</c:v>
                </c:pt>
                <c:pt idx="6">
                  <c:v>1551</c:v>
                </c:pt>
                <c:pt idx="7">
                  <c:v>1159</c:v>
                </c:pt>
                <c:pt idx="8">
                  <c:v>1576</c:v>
                </c:pt>
                <c:pt idx="9">
                  <c:v>1270</c:v>
                </c:pt>
                <c:pt idx="10">
                  <c:v>1270</c:v>
                </c:pt>
                <c:pt idx="11">
                  <c:v>1339</c:v>
                </c:pt>
                <c:pt idx="12">
                  <c:v>1393</c:v>
                </c:pt>
                <c:pt idx="13">
                  <c:v>1475</c:v>
                </c:pt>
                <c:pt idx="14">
                  <c:v>1383</c:v>
                </c:pt>
                <c:pt idx="15">
                  <c:v>1170</c:v>
                </c:pt>
                <c:pt idx="16">
                  <c:v>1181</c:v>
                </c:pt>
                <c:pt idx="17">
                  <c:v>1181</c:v>
                </c:pt>
                <c:pt idx="18">
                  <c:v>1383</c:v>
                </c:pt>
                <c:pt idx="19">
                  <c:v>1334</c:v>
                </c:pt>
                <c:pt idx="20">
                  <c:v>1709</c:v>
                </c:pt>
                <c:pt idx="21">
                  <c:v>1821</c:v>
                </c:pt>
                <c:pt idx="22">
                  <c:v>1456</c:v>
                </c:pt>
                <c:pt idx="23">
                  <c:v>1724</c:v>
                </c:pt>
                <c:pt idx="24">
                  <c:v>1724</c:v>
                </c:pt>
                <c:pt idx="25">
                  <c:v>1611</c:v>
                </c:pt>
                <c:pt idx="26">
                  <c:v>1748</c:v>
                </c:pt>
                <c:pt idx="27">
                  <c:v>1920</c:v>
                </c:pt>
                <c:pt idx="28">
                  <c:v>1778</c:v>
                </c:pt>
                <c:pt idx="29">
                  <c:v>1457</c:v>
                </c:pt>
                <c:pt idx="30">
                  <c:v>1577.5</c:v>
                </c:pt>
                <c:pt idx="31">
                  <c:v>1577.5</c:v>
                </c:pt>
                <c:pt idx="32">
                  <c:v>1526</c:v>
                </c:pt>
                <c:pt idx="33">
                  <c:v>1571</c:v>
                </c:pt>
                <c:pt idx="34">
                  <c:v>1639</c:v>
                </c:pt>
                <c:pt idx="35">
                  <c:v>1825</c:v>
                </c:pt>
                <c:pt idx="36">
                  <c:v>1653</c:v>
                </c:pt>
                <c:pt idx="37">
                  <c:v>2029</c:v>
                </c:pt>
                <c:pt idx="38">
                  <c:v>2029</c:v>
                </c:pt>
                <c:pt idx="39">
                  <c:v>1274</c:v>
                </c:pt>
                <c:pt idx="40">
                  <c:v>1380</c:v>
                </c:pt>
                <c:pt idx="41">
                  <c:v>1409</c:v>
                </c:pt>
                <c:pt idx="42">
                  <c:v>1599</c:v>
                </c:pt>
                <c:pt idx="43">
                  <c:v>1268</c:v>
                </c:pt>
                <c:pt idx="44">
                  <c:v>1139.5</c:v>
                </c:pt>
                <c:pt idx="45">
                  <c:v>1139.5</c:v>
                </c:pt>
                <c:pt idx="46">
                  <c:v>1176</c:v>
                </c:pt>
                <c:pt idx="47">
                  <c:v>1122</c:v>
                </c:pt>
                <c:pt idx="48">
                  <c:v>1209</c:v>
                </c:pt>
                <c:pt idx="49">
                  <c:v>1113</c:v>
                </c:pt>
                <c:pt idx="50">
                  <c:v>1263</c:v>
                </c:pt>
                <c:pt idx="51">
                  <c:v>1104</c:v>
                </c:pt>
                <c:pt idx="52">
                  <c:v>1104</c:v>
                </c:pt>
                <c:pt idx="53">
                  <c:v>1040</c:v>
                </c:pt>
                <c:pt idx="54">
                  <c:v>1030</c:v>
                </c:pt>
                <c:pt idx="55">
                  <c:v>1182</c:v>
                </c:pt>
                <c:pt idx="56">
                  <c:v>1156</c:v>
                </c:pt>
                <c:pt idx="57">
                  <c:v>1110</c:v>
                </c:pt>
                <c:pt idx="58">
                  <c:v>1060</c:v>
                </c:pt>
                <c:pt idx="59">
                  <c:v>1060</c:v>
                </c:pt>
                <c:pt idx="60">
                  <c:v>937</c:v>
                </c:pt>
                <c:pt idx="61">
                  <c:v>872</c:v>
                </c:pt>
                <c:pt idx="62">
                  <c:v>993</c:v>
                </c:pt>
                <c:pt idx="63">
                  <c:v>906</c:v>
                </c:pt>
                <c:pt idx="64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9-4E18-952A-D11862C91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047096"/>
        <c:axId val="312063496"/>
      </c:areaChart>
      <c:areaChart>
        <c:grouping val="standard"/>
        <c:varyColors val="0"/>
        <c:ser>
          <c:idx val="1"/>
          <c:order val="1"/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Data'!$B$126:$B$191</c15:sqref>
                  </c15:fullRef>
                </c:ext>
              </c:extLst>
              <c:f>'Graph Data'!$B$127:$B$191</c:f>
              <c:strCache>
                <c:ptCount val="65"/>
                <c:pt idx="0">
                  <c:v>27/03/2020</c:v>
                </c:pt>
                <c:pt idx="1">
                  <c:v>28/03/2020</c:v>
                </c:pt>
                <c:pt idx="2">
                  <c:v>29/03/2020</c:v>
                </c:pt>
                <c:pt idx="3">
                  <c:v>30/03/2020</c:v>
                </c:pt>
                <c:pt idx="4">
                  <c:v>31/03/2020</c:v>
                </c:pt>
                <c:pt idx="5">
                  <c:v>01/04/2020</c:v>
                </c:pt>
                <c:pt idx="6">
                  <c:v>02/04/2020</c:v>
                </c:pt>
                <c:pt idx="7">
                  <c:v>03/04/2020</c:v>
                </c:pt>
                <c:pt idx="8">
                  <c:v>04/04/2020</c:v>
                </c:pt>
                <c:pt idx="9">
                  <c:v>05/04/2020</c:v>
                </c:pt>
                <c:pt idx="10">
                  <c:v>06/04/2020</c:v>
                </c:pt>
                <c:pt idx="11">
                  <c:v>07/04/2020</c:v>
                </c:pt>
                <c:pt idx="12">
                  <c:v>08/04/2020</c:v>
                </c:pt>
                <c:pt idx="13">
                  <c:v>09/04/2020</c:v>
                </c:pt>
                <c:pt idx="14">
                  <c:v>10/04/2020</c:v>
                </c:pt>
                <c:pt idx="15">
                  <c:v>11/04/2020</c:v>
                </c:pt>
                <c:pt idx="16">
                  <c:v>12/04/2020</c:v>
                </c:pt>
                <c:pt idx="17">
                  <c:v>13/04/2020</c:v>
                </c:pt>
                <c:pt idx="18">
                  <c:v>14/04/2020</c:v>
                </c:pt>
                <c:pt idx="19">
                  <c:v>15/04/2020</c:v>
                </c:pt>
                <c:pt idx="20">
                  <c:v>16/04/2020</c:v>
                </c:pt>
                <c:pt idx="21">
                  <c:v>17/04/2020</c:v>
                </c:pt>
                <c:pt idx="22">
                  <c:v>18/04/2020</c:v>
                </c:pt>
                <c:pt idx="23">
                  <c:v>19/04/2020</c:v>
                </c:pt>
                <c:pt idx="24">
                  <c:v>20/04/2020</c:v>
                </c:pt>
                <c:pt idx="25">
                  <c:v>21/04/2020</c:v>
                </c:pt>
                <c:pt idx="26">
                  <c:v>22/04/2020</c:v>
                </c:pt>
                <c:pt idx="27">
                  <c:v>23/04/2020</c:v>
                </c:pt>
                <c:pt idx="28">
                  <c:v>24/04/2020</c:v>
                </c:pt>
                <c:pt idx="29">
                  <c:v>25/04/2020</c:v>
                </c:pt>
                <c:pt idx="30">
                  <c:v>26/04/2020</c:v>
                </c:pt>
                <c:pt idx="31">
                  <c:v>27/04/2020</c:v>
                </c:pt>
                <c:pt idx="32">
                  <c:v>28/04/2020</c:v>
                </c:pt>
                <c:pt idx="33">
                  <c:v>29/04/2020</c:v>
                </c:pt>
                <c:pt idx="34">
                  <c:v>30/04/2020</c:v>
                </c:pt>
                <c:pt idx="35">
                  <c:v>01/05/2020</c:v>
                </c:pt>
                <c:pt idx="36">
                  <c:v>02/05/2020</c:v>
                </c:pt>
                <c:pt idx="37">
                  <c:v>03/05/2020</c:v>
                </c:pt>
                <c:pt idx="38">
                  <c:v>04/05/2020</c:v>
                </c:pt>
                <c:pt idx="39">
                  <c:v>05/05/2020</c:v>
                </c:pt>
                <c:pt idx="40">
                  <c:v>06/05/2020</c:v>
                </c:pt>
                <c:pt idx="41">
                  <c:v>07/05/2020</c:v>
                </c:pt>
                <c:pt idx="42">
                  <c:v>08/05/2020</c:v>
                </c:pt>
                <c:pt idx="43">
                  <c:v>09/05/2020</c:v>
                </c:pt>
                <c:pt idx="44">
                  <c:v>10/05/2020</c:v>
                </c:pt>
                <c:pt idx="45">
                  <c:v>11/05/2020</c:v>
                </c:pt>
                <c:pt idx="46">
                  <c:v>12/05/2020</c:v>
                </c:pt>
                <c:pt idx="47">
                  <c:v>13/05/2020</c:v>
                </c:pt>
                <c:pt idx="48">
                  <c:v>14/05/2020</c:v>
                </c:pt>
                <c:pt idx="49">
                  <c:v>15/05/2020</c:v>
                </c:pt>
                <c:pt idx="50">
                  <c:v>16/05/2020</c:v>
                </c:pt>
                <c:pt idx="51">
                  <c:v>17/05/2020</c:v>
                </c:pt>
                <c:pt idx="52">
                  <c:v>18/05/2020</c:v>
                </c:pt>
                <c:pt idx="53">
                  <c:v>19/05/2020</c:v>
                </c:pt>
                <c:pt idx="54">
                  <c:v>20/05/2020</c:v>
                </c:pt>
                <c:pt idx="55">
                  <c:v>21/05/2020</c:v>
                </c:pt>
                <c:pt idx="56">
                  <c:v>22/05/2020</c:v>
                </c:pt>
                <c:pt idx="57">
                  <c:v>23/05/2020</c:v>
                </c:pt>
                <c:pt idx="58">
                  <c:v>24/05/2020</c:v>
                </c:pt>
                <c:pt idx="59">
                  <c:v>25/05/2020</c:v>
                </c:pt>
                <c:pt idx="60">
                  <c:v>26/05/2020</c:v>
                </c:pt>
                <c:pt idx="61">
                  <c:v>27/05/2020</c:v>
                </c:pt>
                <c:pt idx="62">
                  <c:v>28/05/2020</c:v>
                </c:pt>
                <c:pt idx="63">
                  <c:v>29/05/2020</c:v>
                </c:pt>
                <c:pt idx="64">
                  <c:v>30/05/2020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Data'!$M$126:$M$191</c15:sqref>
                  </c15:fullRef>
                </c:ext>
              </c:extLst>
              <c:f>'Graph Data'!$M$127:$M$191</c:f>
              <c:numCache>
                <c:formatCode>General</c:formatCode>
                <c:ptCount val="65"/>
                <c:pt idx="0">
                  <c:v>0</c:v>
                </c:pt>
                <c:pt idx="1">
                  <c:v>92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53</c:v>
                </c:pt>
                <c:pt idx="6">
                  <c:v>55</c:v>
                </c:pt>
                <c:pt idx="7">
                  <c:v>53</c:v>
                </c:pt>
                <c:pt idx="8">
                  <c:v>29</c:v>
                </c:pt>
                <c:pt idx="9">
                  <c:v>31.5</c:v>
                </c:pt>
                <c:pt idx="10">
                  <c:v>31.5</c:v>
                </c:pt>
                <c:pt idx="11">
                  <c:v>25</c:v>
                </c:pt>
                <c:pt idx="12">
                  <c:v>45</c:v>
                </c:pt>
                <c:pt idx="13">
                  <c:v>40</c:v>
                </c:pt>
                <c:pt idx="14">
                  <c:v>34</c:v>
                </c:pt>
                <c:pt idx="15">
                  <c:v>35</c:v>
                </c:pt>
                <c:pt idx="16">
                  <c:v>22.5</c:v>
                </c:pt>
                <c:pt idx="17">
                  <c:v>22.5</c:v>
                </c:pt>
                <c:pt idx="18">
                  <c:v>27</c:v>
                </c:pt>
                <c:pt idx="19">
                  <c:v>44</c:v>
                </c:pt>
                <c:pt idx="20">
                  <c:v>14</c:v>
                </c:pt>
                <c:pt idx="21">
                  <c:v>43</c:v>
                </c:pt>
                <c:pt idx="22">
                  <c:v>29</c:v>
                </c:pt>
                <c:pt idx="23">
                  <c:v>26</c:v>
                </c:pt>
                <c:pt idx="24">
                  <c:v>26</c:v>
                </c:pt>
                <c:pt idx="25">
                  <c:v>25</c:v>
                </c:pt>
                <c:pt idx="26">
                  <c:v>71</c:v>
                </c:pt>
                <c:pt idx="27">
                  <c:v>29</c:v>
                </c:pt>
                <c:pt idx="28">
                  <c:v>29</c:v>
                </c:pt>
                <c:pt idx="29">
                  <c:v>95</c:v>
                </c:pt>
                <c:pt idx="30">
                  <c:v>25</c:v>
                </c:pt>
                <c:pt idx="31">
                  <c:v>25</c:v>
                </c:pt>
                <c:pt idx="32">
                  <c:v>55</c:v>
                </c:pt>
                <c:pt idx="33">
                  <c:v>34</c:v>
                </c:pt>
                <c:pt idx="34">
                  <c:v>25</c:v>
                </c:pt>
                <c:pt idx="35">
                  <c:v>0</c:v>
                </c:pt>
                <c:pt idx="36">
                  <c:v>33</c:v>
                </c:pt>
                <c:pt idx="37">
                  <c:v>39.5</c:v>
                </c:pt>
                <c:pt idx="38">
                  <c:v>39.5</c:v>
                </c:pt>
                <c:pt idx="39">
                  <c:v>8</c:v>
                </c:pt>
                <c:pt idx="40">
                  <c:v>23</c:v>
                </c:pt>
                <c:pt idx="41">
                  <c:v>33</c:v>
                </c:pt>
                <c:pt idx="42">
                  <c:v>27</c:v>
                </c:pt>
                <c:pt idx="43">
                  <c:v>15</c:v>
                </c:pt>
                <c:pt idx="44">
                  <c:v>11.5</c:v>
                </c:pt>
                <c:pt idx="45">
                  <c:v>11.5</c:v>
                </c:pt>
                <c:pt idx="46">
                  <c:v>7</c:v>
                </c:pt>
                <c:pt idx="47">
                  <c:v>16</c:v>
                </c:pt>
                <c:pt idx="48">
                  <c:v>16</c:v>
                </c:pt>
                <c:pt idx="49">
                  <c:v>15</c:v>
                </c:pt>
                <c:pt idx="50">
                  <c:v>21</c:v>
                </c:pt>
                <c:pt idx="51">
                  <c:v>8</c:v>
                </c:pt>
                <c:pt idx="52">
                  <c:v>8</c:v>
                </c:pt>
                <c:pt idx="53">
                  <c:v>2</c:v>
                </c:pt>
                <c:pt idx="54">
                  <c:v>21</c:v>
                </c:pt>
                <c:pt idx="55">
                  <c:v>12</c:v>
                </c:pt>
                <c:pt idx="56">
                  <c:v>28</c:v>
                </c:pt>
                <c:pt idx="57">
                  <c:v>10</c:v>
                </c:pt>
                <c:pt idx="58">
                  <c:v>6</c:v>
                </c:pt>
                <c:pt idx="59">
                  <c:v>6</c:v>
                </c:pt>
                <c:pt idx="60">
                  <c:v>12</c:v>
                </c:pt>
                <c:pt idx="61">
                  <c:v>9</c:v>
                </c:pt>
                <c:pt idx="62">
                  <c:v>8</c:v>
                </c:pt>
                <c:pt idx="63">
                  <c:v>4</c:v>
                </c:pt>
                <c:pt idx="6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69-4E18-952A-D11862C91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733672"/>
        <c:axId val="597669992"/>
      </c:areaChart>
      <c:dateAx>
        <c:axId val="312047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Offset val="100"/>
        <c:baseTimeUnit val="days"/>
      </c:dateAx>
      <c:valAx>
        <c:axId val="312063496"/>
        <c:scaling>
          <c:orientation val="minMax"/>
          <c:max val="2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midCat"/>
      </c:valAx>
      <c:valAx>
        <c:axId val="597669992"/>
        <c:scaling>
          <c:orientation val="minMax"/>
          <c:max val="32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733672"/>
        <c:crosses val="max"/>
        <c:crossBetween val="midCat"/>
      </c:valAx>
      <c:dateAx>
        <c:axId val="6027336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9766999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Case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Data!$H$772</c:f>
              <c:strCache>
                <c:ptCount val="1"/>
                <c:pt idx="0">
                  <c:v>Active Cases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Data!$B$773:$B$784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Data!$H$773:$H$784</c:f>
              <c:numCache>
                <c:formatCode>_-* #,##0_-;\-* #,##0_-;_-* "-"??_-;_-@_-</c:formatCode>
                <c:ptCount val="12"/>
                <c:pt idx="0">
                  <c:v>3933</c:v>
                </c:pt>
                <c:pt idx="1">
                  <c:v>30142</c:v>
                </c:pt>
                <c:pt idx="2">
                  <c:v>228</c:v>
                </c:pt>
                <c:pt idx="3">
                  <c:v>604</c:v>
                </c:pt>
                <c:pt idx="4">
                  <c:v>9</c:v>
                </c:pt>
                <c:pt idx="5">
                  <c:v>55</c:v>
                </c:pt>
                <c:pt idx="6">
                  <c:v>18</c:v>
                </c:pt>
                <c:pt idx="7">
                  <c:v>9</c:v>
                </c:pt>
                <c:pt idx="8">
                  <c:v>0</c:v>
                </c:pt>
                <c:pt idx="9">
                  <c:v>3</c:v>
                </c:pt>
                <c:pt idx="10">
                  <c:v>35014</c:v>
                </c:pt>
                <c:pt idx="11">
                  <c:v>1176659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28-49DC-9671-6B057697E09F}"/>
            </c:ext>
          </c:extLst>
        </c:ser>
        <c:ser>
          <c:idx val="2"/>
          <c:order val="1"/>
          <c:tx>
            <c:strRef>
              <c:f>Data!$E$772</c:f>
              <c:strCache>
                <c:ptCount val="1"/>
                <c:pt idx="0">
                  <c:v>Recovered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Data!$B$773:$B$784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Data!$E$773:$E$784</c:f>
              <c:numCache>
                <c:formatCode>_-* #,##0_-;\-* #,##0_-;_-* "-"??_-;_-@_-</c:formatCode>
                <c:ptCount val="12"/>
                <c:pt idx="0">
                  <c:v>21353</c:v>
                </c:pt>
                <c:pt idx="1">
                  <c:v>16070</c:v>
                </c:pt>
                <c:pt idx="2">
                  <c:v>2181</c:v>
                </c:pt>
                <c:pt idx="3">
                  <c:v>6245</c:v>
                </c:pt>
                <c:pt idx="4">
                  <c:v>278</c:v>
                </c:pt>
                <c:pt idx="5">
                  <c:v>580</c:v>
                </c:pt>
                <c:pt idx="6">
                  <c:v>978</c:v>
                </c:pt>
                <c:pt idx="7">
                  <c:v>120</c:v>
                </c:pt>
                <c:pt idx="8">
                  <c:v>27</c:v>
                </c:pt>
                <c:pt idx="9">
                  <c:v>255</c:v>
                </c:pt>
                <c:pt idx="10">
                  <c:v>48103</c:v>
                </c:pt>
                <c:pt idx="11">
                  <c:v>527995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8-49DC-9671-6B057697E09F}"/>
            </c:ext>
          </c:extLst>
        </c:ser>
        <c:ser>
          <c:idx val="0"/>
          <c:order val="2"/>
          <c:tx>
            <c:strRef>
              <c:f>Data!$F$772</c:f>
              <c:strCache>
                <c:ptCount val="1"/>
                <c:pt idx="0">
                  <c:v>Deceased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Data!$B$773:$B$784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Data!$F$773:$F$784</c:f>
              <c:numCache>
                <c:formatCode>_-* #,##0_-;\-* #,##0_-;_-* "-"??_-;_-@_-</c:formatCode>
                <c:ptCount val="12"/>
                <c:pt idx="0">
                  <c:v>2247</c:v>
                </c:pt>
                <c:pt idx="1">
                  <c:v>4439</c:v>
                </c:pt>
                <c:pt idx="2">
                  <c:v>164</c:v>
                </c:pt>
                <c:pt idx="3">
                  <c:v>143</c:v>
                </c:pt>
                <c:pt idx="4">
                  <c:v>7</c:v>
                </c:pt>
                <c:pt idx="5">
                  <c:v>10</c:v>
                </c:pt>
                <c:pt idx="6">
                  <c:v>60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7073</c:v>
                </c:pt>
                <c:pt idx="11">
                  <c:v>105231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28-49DC-9671-6B057697E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2047096"/>
        <c:axId val="312063496"/>
      </c:barChart>
      <c:catAx>
        <c:axId val="312047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Algn val="ctr"/>
        <c:lblOffset val="100"/>
        <c:noMultiLvlLbl val="0"/>
      </c:catAx>
      <c:valAx>
        <c:axId val="312063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Active Cases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95-4CF4-AF26-41593D0372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95-4CF4-AF26-41593D0372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95-4CF4-AF26-41593D0372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195-4CF4-AF26-41593D0372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195-4CF4-AF26-41593D0372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195-4CF4-AF26-41593D0372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195-4CF4-AF26-41593D0372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195-4CF4-AF26-41593D03726F}"/>
              </c:ext>
            </c:extLst>
          </c:dPt>
          <c:dPt>
            <c:idx val="8"/>
            <c:bubble3D val="0"/>
            <c:spPr>
              <a:solidFill>
                <a:srgbClr val="255E9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195-4CF4-AF26-41593D0372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195-4CF4-AF26-41593D03726F}"/>
              </c:ext>
            </c:extLst>
          </c:dPt>
          <c:dLbls>
            <c:dLbl>
              <c:idx val="0"/>
              <c:layout>
                <c:manualLayout>
                  <c:x val="5.5286607692556951E-3"/>
                  <c:y val="8.97780182540473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195-4CF4-AF26-41593D03726F}"/>
                </c:ext>
              </c:extLst>
            </c:dLbl>
            <c:dLbl>
              <c:idx val="2"/>
              <c:layout>
                <c:manualLayout>
                  <c:x val="-3.2467839668189551E-2"/>
                  <c:y val="-1.75537393268879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195-4CF4-AF26-41593D03726F}"/>
                </c:ext>
              </c:extLst>
            </c:dLbl>
            <c:dLbl>
              <c:idx val="3"/>
              <c:layout>
                <c:manualLayout>
                  <c:x val="-6.9158646835812118E-2"/>
                  <c:y val="7.11165060063694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195-4CF4-AF26-41593D03726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195-4CF4-AF26-41593D03726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195-4CF4-AF26-41593D03726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195-4CF4-AF26-41593D03726F}"/>
                </c:ext>
              </c:extLst>
            </c:dLbl>
            <c:dLbl>
              <c:idx val="8"/>
              <c:layout>
                <c:manualLayout>
                  <c:x val="3.3868474773986433E-2"/>
                  <c:y val="3.0243055061155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195-4CF4-AF26-41593D03726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195-4CF4-AF26-41593D03726F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Data!$B$927:$B$936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Data!$Q$927:$Q$936</c:f>
              <c:numCache>
                <c:formatCode>0</c:formatCode>
                <c:ptCount val="10"/>
                <c:pt idx="0">
                  <c:v>100.76124567474049</c:v>
                </c:pt>
                <c:pt idx="1">
                  <c:v>2967.2597864768686</c:v>
                </c:pt>
                <c:pt idx="2">
                  <c:v>37.250996015936259</c:v>
                </c:pt>
                <c:pt idx="3">
                  <c:v>136.40552995391707</c:v>
                </c:pt>
                <c:pt idx="4">
                  <c:v>2.9411764705882351</c:v>
                </c:pt>
                <c:pt idx="5">
                  <c:v>36.752136752136757</c:v>
                </c:pt>
                <c:pt idx="6">
                  <c:v>3.1088082901554404</c:v>
                </c:pt>
                <c:pt idx="7">
                  <c:v>1.2953367875647668</c:v>
                </c:pt>
                <c:pt idx="8">
                  <c:v>38.961038961038959</c:v>
                </c:pt>
                <c:pt idx="9">
                  <c:v>1.9083969465648853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95-4CF4-AF26-41593D037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Quebec versus Rest</a:t>
            </a:r>
            <a:r>
              <a:rPr lang="en-CA" baseline="0"/>
              <a:t> of Canada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'May 30'!$M$145</c:f>
              <c:strCache>
                <c:ptCount val="1"/>
                <c:pt idx="0">
                  <c:v>Quebec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'May 30'!$L$146:$L$148</c:f>
              <c:strCache>
                <c:ptCount val="3"/>
                <c:pt idx="0">
                  <c:v>Cases</c:v>
                </c:pt>
                <c:pt idx="1">
                  <c:v>Active Cases</c:v>
                </c:pt>
                <c:pt idx="2">
                  <c:v>Deceased</c:v>
                </c:pt>
              </c:strCache>
            </c:strRef>
          </c:cat>
          <c:val>
            <c:numRef>
              <c:f>'May 30'!$M$146:$M$148</c:f>
              <c:numCache>
                <c:formatCode>General</c:formatCode>
                <c:ptCount val="3"/>
                <c:pt idx="0">
                  <c:v>50651</c:v>
                </c:pt>
                <c:pt idx="1">
                  <c:v>30142</c:v>
                </c:pt>
                <c:pt idx="2">
                  <c:v>4439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E-4A41-BDAA-0070EEB575B8}"/>
            </c:ext>
          </c:extLst>
        </c:ser>
        <c:ser>
          <c:idx val="1"/>
          <c:order val="1"/>
          <c:tx>
            <c:strRef>
              <c:f>'May 30'!$N$145</c:f>
              <c:strCache>
                <c:ptCount val="1"/>
                <c:pt idx="0">
                  <c:v>Rest of Canada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'May 30'!$L$146:$L$148</c:f>
              <c:strCache>
                <c:ptCount val="3"/>
                <c:pt idx="0">
                  <c:v>Cases</c:v>
                </c:pt>
                <c:pt idx="1">
                  <c:v>Active Cases</c:v>
                </c:pt>
                <c:pt idx="2">
                  <c:v>Deceased</c:v>
                </c:pt>
              </c:strCache>
            </c:strRef>
          </c:cat>
          <c:val>
            <c:numRef>
              <c:f>'May 30'!$N$146:$N$148</c:f>
              <c:numCache>
                <c:formatCode>General</c:formatCode>
                <c:ptCount val="3"/>
                <c:pt idx="0">
                  <c:v>39539</c:v>
                </c:pt>
                <c:pt idx="1">
                  <c:v>4872</c:v>
                </c:pt>
                <c:pt idx="2">
                  <c:v>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EE-4A41-BDAA-0070EEB5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02715304"/>
        <c:axId val="602716288"/>
      </c:barChart>
      <c:catAx>
        <c:axId val="60271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716288"/>
        <c:crosses val="autoZero"/>
        <c:auto val="1"/>
        <c:lblAlgn val="ctr"/>
        <c:lblOffset val="100"/>
        <c:noMultiLvlLbl val="0"/>
      </c:catAx>
      <c:valAx>
        <c:axId val="60271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71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Deaths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D0-4AAD-BF47-0659BA8B12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D0-4AAD-BF47-0659BA8B12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D0-4AAD-BF47-0659BA8B12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D0-4AAD-BF47-0659BA8B12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ED0-4AAD-BF47-0659BA8B12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ED0-4AAD-BF47-0659BA8B12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ED0-4AAD-BF47-0659BA8B12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ED0-4AAD-BF47-0659BA8B12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ED0-4AAD-BF47-0659BA8B126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ED0-4AAD-BF47-0659BA8B126A}"/>
              </c:ext>
            </c:extLst>
          </c:dPt>
          <c:dLbls>
            <c:dLbl>
              <c:idx val="2"/>
              <c:layout>
                <c:manualLayout>
                  <c:x val="-1.4030572567317974E-2"/>
                  <c:y val="-1.05117398299896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D0-4AAD-BF47-0659BA8B126A}"/>
                </c:ext>
              </c:extLst>
            </c:dLbl>
            <c:dLbl>
              <c:idx val="3"/>
              <c:layout>
                <c:manualLayout>
                  <c:x val="1.4647370467580441E-2"/>
                  <c:y val="1.08114650225683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D0-4AAD-BF47-0659BA8B126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D0-4AAD-BF47-0659BA8B126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D0-4AAD-BF47-0659BA8B126A}"/>
                </c:ext>
              </c:extLst>
            </c:dLbl>
            <c:dLbl>
              <c:idx val="6"/>
              <c:layout>
                <c:manualLayout>
                  <c:x val="6.1492903664819673E-2"/>
                  <c:y val="3.7040860398779268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Rest
</a:t>
                    </a:r>
                    <a:fld id="{EFE849EC-2A7A-4ADA-810F-711F359B5D5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5ED0-4AAD-BF47-0659BA8B126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D0-4AAD-BF47-0659BA8B126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D0-4AAD-BF47-0659BA8B126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D0-4AAD-BF47-0659BA8B126A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Data!$B$773:$B$782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Data!$F$773:$F$782</c:f>
              <c:numCache>
                <c:formatCode>_-* #,##0_-;\-* #,##0_-;_-* "-"??_-;_-@_-</c:formatCode>
                <c:ptCount val="10"/>
                <c:pt idx="0">
                  <c:v>2247</c:v>
                </c:pt>
                <c:pt idx="1">
                  <c:v>4439</c:v>
                </c:pt>
                <c:pt idx="2">
                  <c:v>164</c:v>
                </c:pt>
                <c:pt idx="3">
                  <c:v>143</c:v>
                </c:pt>
                <c:pt idx="4">
                  <c:v>7</c:v>
                </c:pt>
                <c:pt idx="5">
                  <c:v>10</c:v>
                </c:pt>
                <c:pt idx="6">
                  <c:v>60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ED0-4AAD-BF47-0659BA8B1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Deaths Per Capita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96-4B69-AA76-E2D4A98860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296-4B69-AA76-E2D4A98860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296-4B69-AA76-E2D4A98860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296-4B69-AA76-E2D4A98860B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296-4B69-AA76-E2D4A98860B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296-4B69-AA76-E2D4A98860B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296-4B69-AA76-E2D4A98860B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96-4B69-AA76-E2D4A98860B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296-4B69-AA76-E2D4A98860B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296-4B69-AA76-E2D4A98860B4}"/>
              </c:ext>
            </c:extLst>
          </c:dPt>
          <c:dLbls>
            <c:dLbl>
              <c:idx val="4"/>
              <c:layout>
                <c:manualLayout>
                  <c:x val="1.5222287028936198E-2"/>
                  <c:y val="3.4038387606612465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Rest
3%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6-4B69-AA76-E2D4A98860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6-4B69-AA76-E2D4A98860B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6-4B69-AA76-E2D4A98860B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6-4B69-AA76-E2D4A98860B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6-4B69-AA76-E2D4A98860B4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Data!$B$773:$B$782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Data!$O$773:$O$782</c:f>
              <c:numCache>
                <c:formatCode>0.00</c:formatCode>
                <c:ptCount val="10"/>
                <c:pt idx="0">
                  <c:v>155.50173010380624</c:v>
                </c:pt>
                <c:pt idx="1">
                  <c:v>526.57176749703444</c:v>
                </c:pt>
                <c:pt idx="2">
                  <c:v>32.669322709163346</c:v>
                </c:pt>
                <c:pt idx="3">
                  <c:v>32.94930875576037</c:v>
                </c:pt>
                <c:pt idx="4">
                  <c:v>5.1470588235294112</c:v>
                </c:pt>
                <c:pt idx="5">
                  <c:v>8.5470085470085468</c:v>
                </c:pt>
                <c:pt idx="6">
                  <c:v>62.176165803108809</c:v>
                </c:pt>
                <c:pt idx="7">
                  <c:v>0</c:v>
                </c:pt>
                <c:pt idx="8">
                  <c:v>0</c:v>
                </c:pt>
                <c:pt idx="9">
                  <c:v>5.7251908396946565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296-4B69-AA76-E2D4A98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Active Per Capita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2B-4E81-91E8-4F0D4C5ABA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2B-4E81-91E8-4F0D4C5ABA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2B-4E81-91E8-4F0D4C5ABA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2B-4E81-91E8-4F0D4C5ABA4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2B-4E81-91E8-4F0D4C5ABA4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72B-4E81-91E8-4F0D4C5ABA4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72B-4E81-91E8-4F0D4C5ABA4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72B-4E81-91E8-4F0D4C5ABA4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72B-4E81-91E8-4F0D4C5ABA4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72B-4E81-91E8-4F0D4C5ABA4C}"/>
              </c:ext>
            </c:extLst>
          </c:dPt>
          <c:dLbls>
            <c:dLbl>
              <c:idx val="0"/>
              <c:layout>
                <c:manualLayout>
                  <c:x val="-7.6972149314669072E-2"/>
                  <c:y val="1.93732112599849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2B-4E81-91E8-4F0D4C5ABA4C}"/>
                </c:ext>
              </c:extLst>
            </c:dLbl>
            <c:dLbl>
              <c:idx val="2"/>
              <c:layout>
                <c:manualLayout>
                  <c:x val="-2.5489209682122992E-2"/>
                  <c:y val="-1.15514041757438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2B-4E81-91E8-4F0D4C5ABA4C}"/>
                </c:ext>
              </c:extLst>
            </c:dLbl>
            <c:dLbl>
              <c:idx val="3"/>
              <c:layout>
                <c:manualLayout>
                  <c:x val="6.584119114740287E-3"/>
                  <c:y val="-1.98734651839406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2B-4E81-91E8-4F0D4C5ABA4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2B-4E81-91E8-4F0D4C5ABA4C}"/>
                </c:ext>
              </c:extLst>
            </c:dLbl>
            <c:dLbl>
              <c:idx val="5"/>
              <c:layout>
                <c:manualLayout>
                  <c:x val="4.412300314312563E-2"/>
                  <c:y val="-2.57141907894424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2B-4E81-91E8-4F0D4C5ABA4C}"/>
                </c:ext>
              </c:extLst>
            </c:dLbl>
            <c:dLbl>
              <c:idx val="6"/>
              <c:layout>
                <c:manualLayout>
                  <c:x val="2.3202423771102685E-3"/>
                  <c:y val="5.09834213761253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2B-4E81-91E8-4F0D4C5ABA4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2B-4E81-91E8-4F0D4C5ABA4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2B-4E81-91E8-4F0D4C5ABA4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72B-4E81-91E8-4F0D4C5ABA4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Data!$B$773:$B$782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Data!$Q$773:$Q$782</c:f>
              <c:numCache>
                <c:formatCode>0</c:formatCode>
                <c:ptCount val="10"/>
                <c:pt idx="0">
                  <c:v>272.17993079584778</c:v>
                </c:pt>
                <c:pt idx="1">
                  <c:v>3575.5634638196916</c:v>
                </c:pt>
                <c:pt idx="2">
                  <c:v>45.418326693227094</c:v>
                </c:pt>
                <c:pt idx="3">
                  <c:v>139.17050691244239</c:v>
                </c:pt>
                <c:pt idx="4">
                  <c:v>6.617647058823529</c:v>
                </c:pt>
                <c:pt idx="5">
                  <c:v>47.008547008547012</c:v>
                </c:pt>
                <c:pt idx="6">
                  <c:v>18.652849740932645</c:v>
                </c:pt>
                <c:pt idx="7">
                  <c:v>11.658031088082902</c:v>
                </c:pt>
                <c:pt idx="8">
                  <c:v>0</c:v>
                </c:pt>
                <c:pt idx="9">
                  <c:v>5.7251908396946565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72B-4E81-91E8-4F0D4C5AB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Estimated Infection Level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Data!$X$688</c:f>
              <c:strCache>
                <c:ptCount val="1"/>
                <c:pt idx="0">
                  <c:v>Immunity Level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97D-4DBB-BE6B-07A5908BFD6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7D-4DBB-BE6B-07A5908BFD6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7D-4DBB-BE6B-07A5908BFD67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97D-4DBB-BE6B-07A5908BFD67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7D-4DBB-BE6B-07A5908BFD6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7D-4DBB-BE6B-07A5908BFD6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97D-4DBB-BE6B-07A5908BFD6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7D-4DBB-BE6B-07A5908BFD6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97D-4DBB-BE6B-07A5908BFD67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7D-4DBB-BE6B-07A5908BFD6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7D-4DBB-BE6B-07A5908BFD67}"/>
              </c:ext>
            </c:extLst>
          </c:dPt>
          <c:cat>
            <c:strRef>
              <c:f>Data!$V$689:$V$700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Data!$X$689:$X$700</c:f>
              <c:numCache>
                <c:formatCode>0.0%</c:formatCode>
                <c:ptCount val="12"/>
                <c:pt idx="0">
                  <c:v>2.2374798012426436E-2</c:v>
                </c:pt>
                <c:pt idx="1">
                  <c:v>6.4283045028031671E-2</c:v>
                </c:pt>
                <c:pt idx="2">
                  <c:v>1.038483460869776E-2</c:v>
                </c:pt>
                <c:pt idx="3">
                  <c:v>1.570321015721151E-2</c:v>
                </c:pt>
                <c:pt idx="4">
                  <c:v>4.1338380836268909E-3</c:v>
                </c:pt>
                <c:pt idx="5">
                  <c:v>7.7790515280838418E-3</c:v>
                </c:pt>
                <c:pt idx="6">
                  <c:v>1.4524662680968291E-2</c:v>
                </c:pt>
                <c:pt idx="7">
                  <c:v>2.9501616056255083E-3</c:v>
                </c:pt>
                <c:pt idx="8">
                  <c:v>2.6648325133957949E-3</c:v>
                </c:pt>
                <c:pt idx="9">
                  <c:v>1.2548834524730754E-2</c:v>
                </c:pt>
                <c:pt idx="10">
                  <c:v>2.9641843971631211E-2</c:v>
                </c:pt>
                <c:pt idx="11">
                  <c:v>6.2542745387432944E-2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D-4DBB-BE6B-07A5908BFD67}"/>
            </c:ext>
          </c:extLst>
        </c:ser>
        <c:ser>
          <c:idx val="1"/>
          <c:order val="1"/>
          <c:tx>
            <c:strRef>
              <c:f>Data!$AB$688</c:f>
              <c:strCache>
                <c:ptCount val="1"/>
                <c:pt idx="0">
                  <c:v>Last Month</c:v>
                </c:pt>
              </c:strCache>
            </c:strRef>
          </c:tx>
          <c:spPr>
            <a:solidFill>
              <a:schemeClr val="accent1"/>
            </a:solidFill>
            <a:ln w="15875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68F0-47DC-AD68-F25E66B0209C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8F0-47DC-AD68-F25E66B0209C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68F0-47DC-AD68-F25E66B0209C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8F0-47DC-AD68-F25E66B0209C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030A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68F0-47DC-AD68-F25E66B0209C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8F0-47DC-AD68-F25E66B0209C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chemeClr val="accent5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8F0-47DC-AD68-F25E66B0209C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chemeClr val="accent5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8F0-47DC-AD68-F25E66B0209C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chemeClr val="accent5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8F0-47DC-AD68-F25E66B0209C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8F0-47DC-AD68-F25E66B0209C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FF000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68F0-47DC-AD68-F25E66B0209C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8F0-47DC-AD68-F25E66B0209C}"/>
              </c:ext>
            </c:extLst>
          </c:dPt>
          <c:cat>
            <c:strRef>
              <c:f>Data!$V$689:$V$700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Data!$AB$689:$AB$700</c:f>
              <c:numCache>
                <c:formatCode>0.0%</c:formatCode>
                <c:ptCount val="12"/>
                <c:pt idx="0">
                  <c:v>1.5298143513366906E-2</c:v>
                </c:pt>
                <c:pt idx="1">
                  <c:v>2.7478672878512925E-2</c:v>
                </c:pt>
                <c:pt idx="2">
                  <c:v>6.2997316004636721E-3</c:v>
                </c:pt>
                <c:pt idx="3">
                  <c:v>7.5818259154218828E-3</c:v>
                </c:pt>
                <c:pt idx="4">
                  <c:v>2.8338334714499798E-3</c:v>
                </c:pt>
                <c:pt idx="5">
                  <c:v>2.9595173812594026E-3</c:v>
                </c:pt>
                <c:pt idx="6">
                  <c:v>7.7899634184870788E-3</c:v>
                </c:pt>
                <c:pt idx="7">
                  <c:v>2.2720468555007338E-3</c:v>
                </c:pt>
                <c:pt idx="8">
                  <c:v>2.3651020880570499E-3</c:v>
                </c:pt>
                <c:pt idx="9">
                  <c:v>8.5800123717865735E-3</c:v>
                </c:pt>
                <c:pt idx="10">
                  <c:v>1.4932624113475176E-2</c:v>
                </c:pt>
                <c:pt idx="11">
                  <c:v>4.265476931738587E-2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8F0-47DC-AD68-F25E66B02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0"/>
        <c:axId val="296235904"/>
        <c:axId val="296237216"/>
      </c:barChart>
      <c:catAx>
        <c:axId val="29623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37216"/>
        <c:crosses val="autoZero"/>
        <c:auto val="1"/>
        <c:lblAlgn val="ctr"/>
        <c:lblOffset val="100"/>
        <c:noMultiLvlLbl val="0"/>
      </c:catAx>
      <c:valAx>
        <c:axId val="296237216"/>
        <c:scaling>
          <c:orientation val="minMax"/>
          <c:max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3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Active Cases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325-4BCE-8AD2-595FECBD4A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25-4BCE-8AD2-595FECBD4A3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25-4BCE-8AD2-595FECBD4A3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325-4BCE-8AD2-595FECBD4A33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91E-4E26-BD41-4187E1A32C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325-4BCE-8AD2-595FECBD4A33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1E-4E26-BD41-4187E1A32C0D}"/>
              </c:ext>
            </c:extLst>
          </c:dPt>
          <c:dPt>
            <c:idx val="7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1E-4E26-BD41-4187E1A32C0D}"/>
              </c:ext>
            </c:extLst>
          </c:dPt>
          <c:dPt>
            <c:idx val="8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91E-4E26-BD41-4187E1A32C0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1E-4E26-BD41-4187E1A32C0D}"/>
              </c:ext>
            </c:extLst>
          </c:dPt>
          <c:dLbls>
            <c:dLbl>
              <c:idx val="2"/>
              <c:layout>
                <c:manualLayout>
                  <c:x val="-3.909448818897638E-2"/>
                  <c:y val="-6.9673411076779962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358024691358028E-2"/>
                      <c:h val="0.146925858951175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325-4BCE-8AD2-595FECBD4A33}"/>
                </c:ext>
              </c:extLst>
            </c:dLbl>
            <c:dLbl>
              <c:idx val="3"/>
              <c:layout>
                <c:manualLayout>
                  <c:x val="1.6578367518874956E-3"/>
                  <c:y val="-1.03441974816439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25-4BCE-8AD2-595FECBD4A3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1E-4E26-BD41-4187E1A32C0D}"/>
                </c:ext>
              </c:extLst>
            </c:dLbl>
            <c:dLbl>
              <c:idx val="5"/>
              <c:layout>
                <c:manualLayout>
                  <c:x val="4.9394057224328443E-2"/>
                  <c:y val="2.695034956073528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Rest
&lt;1%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25-4BCE-8AD2-595FECBD4A3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1E-4E26-BD41-4187E1A32C0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1E-4E26-BD41-4187E1A32C0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1E-4E26-BD41-4187E1A32C0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1E-4E26-BD41-4187E1A32C0D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Data!$B$689:$B$698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Data!$H$689:$H$698</c:f>
              <c:numCache>
                <c:formatCode>_-* #,##0_-;\-* #,##0_-;_-* "-"??_-;_-@_-</c:formatCode>
                <c:ptCount val="10"/>
                <c:pt idx="0">
                  <c:v>3846</c:v>
                </c:pt>
                <c:pt idx="1">
                  <c:v>28854</c:v>
                </c:pt>
                <c:pt idx="2">
                  <c:v>303</c:v>
                </c:pt>
                <c:pt idx="3">
                  <c:v>814</c:v>
                </c:pt>
                <c:pt idx="4">
                  <c:v>17</c:v>
                </c:pt>
                <c:pt idx="5">
                  <c:v>88</c:v>
                </c:pt>
                <c:pt idx="6">
                  <c:v>22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E-4E26-BD41-4187E1A32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Resolved / Cases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Data!$Y$688</c:f>
              <c:strCache>
                <c:ptCount val="1"/>
                <c:pt idx="0">
                  <c:v>Recovered / Cases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AEC-45BF-AE60-302241D8B12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AEC-45BF-AE60-302241D8B12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AEC-45BF-AE60-302241D8B12B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8AEC-45BF-AE60-302241D8B12B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AEC-45BF-AE60-302241D8B12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AEC-45BF-AE60-302241D8B12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EC-45BF-AE60-302241D8B12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AEC-45BF-AE60-302241D8B12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EC-45BF-AE60-302241D8B12B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AEC-45BF-AE60-302241D8B12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EC-45BF-AE60-302241D8B12B}"/>
              </c:ext>
            </c:extLst>
          </c:dPt>
          <c:cat>
            <c:strRef>
              <c:f>Data!$V$689:$V$700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Data!$Y$689:$Y$700</c:f>
              <c:numCache>
                <c:formatCode>0%</c:formatCode>
                <c:ptCount val="12"/>
                <c:pt idx="0">
                  <c:v>0.84640575079872205</c:v>
                </c:pt>
                <c:pt idx="1">
                  <c:v>0.38396174046714204</c:v>
                </c:pt>
                <c:pt idx="2">
                  <c:v>0.87961859356376637</c:v>
                </c:pt>
                <c:pt idx="3">
                  <c:v>0.88061014960398942</c:v>
                </c:pt>
                <c:pt idx="4">
                  <c:v>0.94178082191780821</c:v>
                </c:pt>
                <c:pt idx="5">
                  <c:v>0.86031746031746037</c:v>
                </c:pt>
                <c:pt idx="6">
                  <c:v>0.97902764537654907</c:v>
                </c:pt>
                <c:pt idx="7">
                  <c:v>0.99173553719008267</c:v>
                </c:pt>
                <c:pt idx="8">
                  <c:v>1</c:v>
                </c:pt>
                <c:pt idx="9">
                  <c:v>0.9884615384615385</c:v>
                </c:pt>
                <c:pt idx="10">
                  <c:v>0.59288192367508075</c:v>
                </c:pt>
                <c:pt idx="11">
                  <c:v>0.32394336510429494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C-45BF-AE60-302241D8B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2047096"/>
        <c:axId val="312063496"/>
      </c:barChart>
      <c:catAx>
        <c:axId val="312047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Algn val="ctr"/>
        <c:lblOffset val="100"/>
        <c:noMultiLvlLbl val="0"/>
      </c:catAx>
      <c:valAx>
        <c:axId val="3120634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Mortality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52564725705582"/>
          <c:y val="0.13434676155498712"/>
          <c:w val="0.79301659051877793"/>
          <c:h val="0.778639410091887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Data!$Z$688</c:f>
              <c:strCache>
                <c:ptCount val="1"/>
                <c:pt idx="0">
                  <c:v>Deceased / Resolved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CE-4297-AF8D-71AFEEE648A1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CE-4297-AF8D-71AFEEE648A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CE-4297-AF8D-71AFEEE648A1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CE-4297-AF8D-71AFEEE648A1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8CE-4297-AF8D-71AFEEE648A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8CE-4297-AF8D-71AFEEE648A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8CE-4297-AF8D-71AFEEE648A1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8CE-4297-AF8D-71AFEEE648A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8CE-4297-AF8D-71AFEEE648A1}"/>
              </c:ext>
            </c:extLst>
          </c:dPt>
          <c:cat>
            <c:strRef>
              <c:f>Data!$V$689:$V$700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Data!$Z$689:$Z$700</c:f>
              <c:numCache>
                <c:formatCode>0%</c:formatCode>
                <c:ptCount val="12"/>
                <c:pt idx="0">
                  <c:v>9.6631122015664817E-2</c:v>
                </c:pt>
                <c:pt idx="1">
                  <c:v>0.21908362989323843</c:v>
                </c:pt>
                <c:pt idx="2">
                  <c:v>7.0912375790424573E-2</c:v>
                </c:pt>
                <c:pt idx="3">
                  <c:v>2.2485009993337773E-2</c:v>
                </c:pt>
                <c:pt idx="4">
                  <c:v>2.5454545454545455E-2</c:v>
                </c:pt>
                <c:pt idx="5">
                  <c:v>1.2915129151291513E-2</c:v>
                </c:pt>
                <c:pt idx="6">
                  <c:v>5.6475170399221029E-2</c:v>
                </c:pt>
                <c:pt idx="7">
                  <c:v>0</c:v>
                </c:pt>
                <c:pt idx="8">
                  <c:v>0</c:v>
                </c:pt>
                <c:pt idx="9">
                  <c:v>1.1673151750972763E-2</c:v>
                </c:pt>
                <c:pt idx="10">
                  <c:v>0.12817046348796385</c:v>
                </c:pt>
                <c:pt idx="11">
                  <c:v>0.18298513899888086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8CE-4297-AF8D-71AFEEE648A1}"/>
            </c:ext>
          </c:extLst>
        </c:ser>
        <c:ser>
          <c:idx val="1"/>
          <c:order val="1"/>
          <c:tx>
            <c:strRef>
              <c:f>Data!$AA$688</c:f>
              <c:strCache>
                <c:ptCount val="1"/>
                <c:pt idx="0">
                  <c:v>Deceased / Case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8CE-4297-AF8D-71AFEEE648A1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18CE-4297-AF8D-71AFEEE648A1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8CE-4297-AF8D-71AFEEE648A1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accent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18CE-4297-AF8D-71AFEEE648A1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030A0"/>
                </a:fgClr>
                <a:bgClr>
                  <a:schemeClr val="bg1"/>
                </a:bgClr>
              </a:pattFill>
              <a:ln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8CE-4297-AF8D-71AFEEE648A1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18CE-4297-AF8D-71AFEEE648A1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8CE-4297-AF8D-71AFEEE648A1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4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18CE-4297-AF8D-71AFEEE648A1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FF0000"/>
                </a:fgClr>
                <a:bgClr>
                  <a:schemeClr val="bg1"/>
                </a:bgClr>
              </a:patt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8CE-4297-AF8D-71AFEEE648A1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18CE-4297-AF8D-71AFEEE648A1}"/>
              </c:ext>
            </c:extLst>
          </c:dPt>
          <c:cat>
            <c:strRef>
              <c:f>Data!$V$689:$V$700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Data!$AA$689:$AA$700</c:f>
              <c:numCache>
                <c:formatCode>0%</c:formatCode>
                <c:ptCount val="12"/>
                <c:pt idx="0">
                  <c:v>8.1789137380191695E-2</c:v>
                </c:pt>
                <c:pt idx="1">
                  <c:v>8.4119731841667017E-2</c:v>
                </c:pt>
                <c:pt idx="2">
                  <c:v>6.237584425903854E-2</c:v>
                </c:pt>
                <c:pt idx="3">
                  <c:v>1.9800528014080377E-2</c:v>
                </c:pt>
                <c:pt idx="4">
                  <c:v>2.3972602739726026E-2</c:v>
                </c:pt>
                <c:pt idx="5">
                  <c:v>1.1111111111111112E-2</c:v>
                </c:pt>
                <c:pt idx="6">
                  <c:v>5.5290753098188754E-2</c:v>
                </c:pt>
                <c:pt idx="7">
                  <c:v>0</c:v>
                </c:pt>
                <c:pt idx="8">
                  <c:v>0</c:v>
                </c:pt>
                <c:pt idx="9">
                  <c:v>1.1538461538461539E-2</c:v>
                </c:pt>
                <c:pt idx="10">
                  <c:v>7.5989950951070709E-2</c:v>
                </c:pt>
                <c:pt idx="11">
                  <c:v>5.9276821691374625E-2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8CE-4297-AF8D-71AFEEE64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2047096"/>
        <c:axId val="312063496"/>
      </c:barChart>
      <c:catAx>
        <c:axId val="312047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Algn val="ctr"/>
        <c:lblOffset val="100"/>
        <c:noMultiLvlLbl val="0"/>
      </c:catAx>
      <c:valAx>
        <c:axId val="312063496"/>
        <c:scaling>
          <c:orientation val="minMax"/>
          <c:max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806195521856085"/>
          <c:y val="0.44504646764889416"/>
          <c:w val="0.29370759210654218"/>
          <c:h val="0.15350948645030985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New Cases Per Day (Canada and BC)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Data'!$B$126:$B$184</c15:sqref>
                  </c15:fullRef>
                </c:ext>
              </c:extLst>
              <c:f>'Graph Data'!$B$128:$B$184</c:f>
              <c:strCache>
                <c:ptCount val="57"/>
                <c:pt idx="0">
                  <c:v>28/03/2020</c:v>
                </c:pt>
                <c:pt idx="1">
                  <c:v>29/03/2020</c:v>
                </c:pt>
                <c:pt idx="2">
                  <c:v>30/03/2020</c:v>
                </c:pt>
                <c:pt idx="3">
                  <c:v>31/03/2020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05/04/2020</c:v>
                </c:pt>
                <c:pt idx="9">
                  <c:v>06/04/2020</c:v>
                </c:pt>
                <c:pt idx="10">
                  <c:v>07/04/2020</c:v>
                </c:pt>
                <c:pt idx="11">
                  <c:v>08/04/2020</c:v>
                </c:pt>
                <c:pt idx="12">
                  <c:v>09/04/2020</c:v>
                </c:pt>
                <c:pt idx="13">
                  <c:v>10/04/2020</c:v>
                </c:pt>
                <c:pt idx="14">
                  <c:v>11/04/2020</c:v>
                </c:pt>
                <c:pt idx="15">
                  <c:v>12/04/2020</c:v>
                </c:pt>
                <c:pt idx="16">
                  <c:v>13/04/2020</c:v>
                </c:pt>
                <c:pt idx="17">
                  <c:v>14/04/2020</c:v>
                </c:pt>
                <c:pt idx="18">
                  <c:v>15/04/2020</c:v>
                </c:pt>
                <c:pt idx="19">
                  <c:v>16/04/2020</c:v>
                </c:pt>
                <c:pt idx="20">
                  <c:v>17/04/2020</c:v>
                </c:pt>
                <c:pt idx="21">
                  <c:v>18/04/2020</c:v>
                </c:pt>
                <c:pt idx="22">
                  <c:v>19/04/2020</c:v>
                </c:pt>
                <c:pt idx="23">
                  <c:v>20/04/2020</c:v>
                </c:pt>
                <c:pt idx="24">
                  <c:v>21/04/2020</c:v>
                </c:pt>
                <c:pt idx="25">
                  <c:v>22/04/2020</c:v>
                </c:pt>
                <c:pt idx="26">
                  <c:v>23/04/2020</c:v>
                </c:pt>
                <c:pt idx="27">
                  <c:v>24/04/2020</c:v>
                </c:pt>
                <c:pt idx="28">
                  <c:v>25/04/2020</c:v>
                </c:pt>
                <c:pt idx="29">
                  <c:v>26/04/2020</c:v>
                </c:pt>
                <c:pt idx="30">
                  <c:v>27/04/2020</c:v>
                </c:pt>
                <c:pt idx="31">
                  <c:v>28/04/2020</c:v>
                </c:pt>
                <c:pt idx="32">
                  <c:v>29/04/2020</c:v>
                </c:pt>
                <c:pt idx="33">
                  <c:v>30/04/2020</c:v>
                </c:pt>
                <c:pt idx="34">
                  <c:v>01/05/2020</c:v>
                </c:pt>
                <c:pt idx="35">
                  <c:v>02/05/2020</c:v>
                </c:pt>
                <c:pt idx="36">
                  <c:v>03/05/2020</c:v>
                </c:pt>
                <c:pt idx="37">
                  <c:v>04/05/2020</c:v>
                </c:pt>
                <c:pt idx="38">
                  <c:v>05/05/2020</c:v>
                </c:pt>
                <c:pt idx="39">
                  <c:v>06/05/2020</c:v>
                </c:pt>
                <c:pt idx="40">
                  <c:v>07/05/2020</c:v>
                </c:pt>
                <c:pt idx="41">
                  <c:v>08/05/2020</c:v>
                </c:pt>
                <c:pt idx="42">
                  <c:v>09/05/2020</c:v>
                </c:pt>
                <c:pt idx="43">
                  <c:v>10/05/2020</c:v>
                </c:pt>
                <c:pt idx="44">
                  <c:v>11/05/2020</c:v>
                </c:pt>
                <c:pt idx="45">
                  <c:v>12/05/2020</c:v>
                </c:pt>
                <c:pt idx="46">
                  <c:v>13/05/2020</c:v>
                </c:pt>
                <c:pt idx="47">
                  <c:v>14/05/2020</c:v>
                </c:pt>
                <c:pt idx="48">
                  <c:v>15/05/2020</c:v>
                </c:pt>
                <c:pt idx="49">
                  <c:v>16/05/2020</c:v>
                </c:pt>
                <c:pt idx="50">
                  <c:v>17/05/2020</c:v>
                </c:pt>
                <c:pt idx="51">
                  <c:v>18/05/2020</c:v>
                </c:pt>
                <c:pt idx="52">
                  <c:v>19/05/2020</c:v>
                </c:pt>
                <c:pt idx="53">
                  <c:v>20/05/2020</c:v>
                </c:pt>
                <c:pt idx="54">
                  <c:v>21/05/2020</c:v>
                </c:pt>
                <c:pt idx="55">
                  <c:v>22/05/2020</c:v>
                </c:pt>
                <c:pt idx="56">
                  <c:v>23/05/2020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Data'!$G$126:$G$184</c15:sqref>
                  </c15:fullRef>
                </c:ext>
              </c:extLst>
              <c:f>'Graph Data'!$G$128:$G$184</c:f>
              <c:numCache>
                <c:formatCode>General</c:formatCode>
                <c:ptCount val="57"/>
                <c:pt idx="0">
                  <c:v>1141</c:v>
                </c:pt>
                <c:pt idx="1">
                  <c:v>785</c:v>
                </c:pt>
                <c:pt idx="2">
                  <c:v>785</c:v>
                </c:pt>
                <c:pt idx="3">
                  <c:v>1143</c:v>
                </c:pt>
                <c:pt idx="4">
                  <c:v>1141</c:v>
                </c:pt>
                <c:pt idx="5">
                  <c:v>1551</c:v>
                </c:pt>
                <c:pt idx="6">
                  <c:v>1159</c:v>
                </c:pt>
                <c:pt idx="7">
                  <c:v>1576</c:v>
                </c:pt>
                <c:pt idx="8">
                  <c:v>1270</c:v>
                </c:pt>
                <c:pt idx="9">
                  <c:v>1270</c:v>
                </c:pt>
                <c:pt idx="10">
                  <c:v>1339</c:v>
                </c:pt>
                <c:pt idx="11">
                  <c:v>1393</c:v>
                </c:pt>
                <c:pt idx="12">
                  <c:v>1475</c:v>
                </c:pt>
                <c:pt idx="13">
                  <c:v>1383</c:v>
                </c:pt>
                <c:pt idx="14">
                  <c:v>1170</c:v>
                </c:pt>
                <c:pt idx="15">
                  <c:v>1181</c:v>
                </c:pt>
                <c:pt idx="16">
                  <c:v>1181</c:v>
                </c:pt>
                <c:pt idx="17">
                  <c:v>1383</c:v>
                </c:pt>
                <c:pt idx="18">
                  <c:v>1334</c:v>
                </c:pt>
                <c:pt idx="19">
                  <c:v>1709</c:v>
                </c:pt>
                <c:pt idx="20">
                  <c:v>1821</c:v>
                </c:pt>
                <c:pt idx="21">
                  <c:v>1456</c:v>
                </c:pt>
                <c:pt idx="22">
                  <c:v>1724</c:v>
                </c:pt>
                <c:pt idx="23">
                  <c:v>1724</c:v>
                </c:pt>
                <c:pt idx="24">
                  <c:v>1611</c:v>
                </c:pt>
                <c:pt idx="25">
                  <c:v>1748</c:v>
                </c:pt>
                <c:pt idx="26">
                  <c:v>1920</c:v>
                </c:pt>
                <c:pt idx="27">
                  <c:v>1778</c:v>
                </c:pt>
                <c:pt idx="28">
                  <c:v>1457</c:v>
                </c:pt>
                <c:pt idx="29">
                  <c:v>1577.5</c:v>
                </c:pt>
                <c:pt idx="30">
                  <c:v>1577.5</c:v>
                </c:pt>
                <c:pt idx="31">
                  <c:v>1526</c:v>
                </c:pt>
                <c:pt idx="32">
                  <c:v>1571</c:v>
                </c:pt>
                <c:pt idx="33">
                  <c:v>1639</c:v>
                </c:pt>
                <c:pt idx="34">
                  <c:v>1825</c:v>
                </c:pt>
                <c:pt idx="35">
                  <c:v>1653</c:v>
                </c:pt>
                <c:pt idx="36">
                  <c:v>2029</c:v>
                </c:pt>
                <c:pt idx="37">
                  <c:v>2029</c:v>
                </c:pt>
                <c:pt idx="38">
                  <c:v>1274</c:v>
                </c:pt>
                <c:pt idx="39">
                  <c:v>1380</c:v>
                </c:pt>
                <c:pt idx="40">
                  <c:v>1409</c:v>
                </c:pt>
                <c:pt idx="41">
                  <c:v>1599</c:v>
                </c:pt>
                <c:pt idx="42">
                  <c:v>1268</c:v>
                </c:pt>
                <c:pt idx="43">
                  <c:v>1139.5</c:v>
                </c:pt>
                <c:pt idx="44">
                  <c:v>1139.5</c:v>
                </c:pt>
                <c:pt idx="45">
                  <c:v>1176</c:v>
                </c:pt>
                <c:pt idx="46">
                  <c:v>1122</c:v>
                </c:pt>
                <c:pt idx="47">
                  <c:v>1209</c:v>
                </c:pt>
                <c:pt idx="48">
                  <c:v>1113</c:v>
                </c:pt>
                <c:pt idx="49">
                  <c:v>1263</c:v>
                </c:pt>
                <c:pt idx="50">
                  <c:v>1104</c:v>
                </c:pt>
                <c:pt idx="51">
                  <c:v>1104</c:v>
                </c:pt>
                <c:pt idx="52">
                  <c:v>1040</c:v>
                </c:pt>
                <c:pt idx="53">
                  <c:v>1030</c:v>
                </c:pt>
                <c:pt idx="54">
                  <c:v>1182</c:v>
                </c:pt>
                <c:pt idx="55">
                  <c:v>1156</c:v>
                </c:pt>
                <c:pt idx="56">
                  <c:v>1110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A21-4292-8E73-EE15084B0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047096"/>
        <c:axId val="312063496"/>
      </c:areaChart>
      <c:areaChart>
        <c:grouping val="standard"/>
        <c:varyColors val="0"/>
        <c:ser>
          <c:idx val="1"/>
          <c:order val="1"/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Data'!$B$126:$B$184</c15:sqref>
                  </c15:fullRef>
                </c:ext>
              </c:extLst>
              <c:f>'Graph Data'!$B$128:$B$184</c:f>
              <c:strCache>
                <c:ptCount val="57"/>
                <c:pt idx="0">
                  <c:v>28/03/2020</c:v>
                </c:pt>
                <c:pt idx="1">
                  <c:v>29/03/2020</c:v>
                </c:pt>
                <c:pt idx="2">
                  <c:v>30/03/2020</c:v>
                </c:pt>
                <c:pt idx="3">
                  <c:v>31/03/2020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05/04/2020</c:v>
                </c:pt>
                <c:pt idx="9">
                  <c:v>06/04/2020</c:v>
                </c:pt>
                <c:pt idx="10">
                  <c:v>07/04/2020</c:v>
                </c:pt>
                <c:pt idx="11">
                  <c:v>08/04/2020</c:v>
                </c:pt>
                <c:pt idx="12">
                  <c:v>09/04/2020</c:v>
                </c:pt>
                <c:pt idx="13">
                  <c:v>10/04/2020</c:v>
                </c:pt>
                <c:pt idx="14">
                  <c:v>11/04/2020</c:v>
                </c:pt>
                <c:pt idx="15">
                  <c:v>12/04/2020</c:v>
                </c:pt>
                <c:pt idx="16">
                  <c:v>13/04/2020</c:v>
                </c:pt>
                <c:pt idx="17">
                  <c:v>14/04/2020</c:v>
                </c:pt>
                <c:pt idx="18">
                  <c:v>15/04/2020</c:v>
                </c:pt>
                <c:pt idx="19">
                  <c:v>16/04/2020</c:v>
                </c:pt>
                <c:pt idx="20">
                  <c:v>17/04/2020</c:v>
                </c:pt>
                <c:pt idx="21">
                  <c:v>18/04/2020</c:v>
                </c:pt>
                <c:pt idx="22">
                  <c:v>19/04/2020</c:v>
                </c:pt>
                <c:pt idx="23">
                  <c:v>20/04/2020</c:v>
                </c:pt>
                <c:pt idx="24">
                  <c:v>21/04/2020</c:v>
                </c:pt>
                <c:pt idx="25">
                  <c:v>22/04/2020</c:v>
                </c:pt>
                <c:pt idx="26">
                  <c:v>23/04/2020</c:v>
                </c:pt>
                <c:pt idx="27">
                  <c:v>24/04/2020</c:v>
                </c:pt>
                <c:pt idx="28">
                  <c:v>25/04/2020</c:v>
                </c:pt>
                <c:pt idx="29">
                  <c:v>26/04/2020</c:v>
                </c:pt>
                <c:pt idx="30">
                  <c:v>27/04/2020</c:v>
                </c:pt>
                <c:pt idx="31">
                  <c:v>28/04/2020</c:v>
                </c:pt>
                <c:pt idx="32">
                  <c:v>29/04/2020</c:v>
                </c:pt>
                <c:pt idx="33">
                  <c:v>30/04/2020</c:v>
                </c:pt>
                <c:pt idx="34">
                  <c:v>01/05/2020</c:v>
                </c:pt>
                <c:pt idx="35">
                  <c:v>02/05/2020</c:v>
                </c:pt>
                <c:pt idx="36">
                  <c:v>03/05/2020</c:v>
                </c:pt>
                <c:pt idx="37">
                  <c:v>04/05/2020</c:v>
                </c:pt>
                <c:pt idx="38">
                  <c:v>05/05/2020</c:v>
                </c:pt>
                <c:pt idx="39">
                  <c:v>06/05/2020</c:v>
                </c:pt>
                <c:pt idx="40">
                  <c:v>07/05/2020</c:v>
                </c:pt>
                <c:pt idx="41">
                  <c:v>08/05/2020</c:v>
                </c:pt>
                <c:pt idx="42">
                  <c:v>09/05/2020</c:v>
                </c:pt>
                <c:pt idx="43">
                  <c:v>10/05/2020</c:v>
                </c:pt>
                <c:pt idx="44">
                  <c:v>11/05/2020</c:v>
                </c:pt>
                <c:pt idx="45">
                  <c:v>12/05/2020</c:v>
                </c:pt>
                <c:pt idx="46">
                  <c:v>13/05/2020</c:v>
                </c:pt>
                <c:pt idx="47">
                  <c:v>14/05/2020</c:v>
                </c:pt>
                <c:pt idx="48">
                  <c:v>15/05/2020</c:v>
                </c:pt>
                <c:pt idx="49">
                  <c:v>16/05/2020</c:v>
                </c:pt>
                <c:pt idx="50">
                  <c:v>17/05/2020</c:v>
                </c:pt>
                <c:pt idx="51">
                  <c:v>18/05/2020</c:v>
                </c:pt>
                <c:pt idx="52">
                  <c:v>19/05/2020</c:v>
                </c:pt>
                <c:pt idx="53">
                  <c:v>20/05/2020</c:v>
                </c:pt>
                <c:pt idx="54">
                  <c:v>21/05/2020</c:v>
                </c:pt>
                <c:pt idx="55">
                  <c:v>22/05/2020</c:v>
                </c:pt>
                <c:pt idx="56">
                  <c:v>23/05/2020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Data'!$M$126:$M$184</c15:sqref>
                  </c15:fullRef>
                </c:ext>
              </c:extLst>
              <c:f>'Graph Data'!$M$128:$M$184</c:f>
              <c:numCache>
                <c:formatCode>General</c:formatCode>
                <c:ptCount val="57"/>
                <c:pt idx="0">
                  <c:v>92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53</c:v>
                </c:pt>
                <c:pt idx="5">
                  <c:v>55</c:v>
                </c:pt>
                <c:pt idx="6">
                  <c:v>53</c:v>
                </c:pt>
                <c:pt idx="7">
                  <c:v>29</c:v>
                </c:pt>
                <c:pt idx="8">
                  <c:v>31.5</c:v>
                </c:pt>
                <c:pt idx="9">
                  <c:v>31.5</c:v>
                </c:pt>
                <c:pt idx="10">
                  <c:v>25</c:v>
                </c:pt>
                <c:pt idx="11">
                  <c:v>45</c:v>
                </c:pt>
                <c:pt idx="12">
                  <c:v>40</c:v>
                </c:pt>
                <c:pt idx="13">
                  <c:v>34</c:v>
                </c:pt>
                <c:pt idx="14">
                  <c:v>35</c:v>
                </c:pt>
                <c:pt idx="15">
                  <c:v>22.5</c:v>
                </c:pt>
                <c:pt idx="16">
                  <c:v>22.5</c:v>
                </c:pt>
                <c:pt idx="17">
                  <c:v>27</c:v>
                </c:pt>
                <c:pt idx="18">
                  <c:v>44</c:v>
                </c:pt>
                <c:pt idx="19">
                  <c:v>14</c:v>
                </c:pt>
                <c:pt idx="20">
                  <c:v>43</c:v>
                </c:pt>
                <c:pt idx="21">
                  <c:v>29</c:v>
                </c:pt>
                <c:pt idx="22">
                  <c:v>26</c:v>
                </c:pt>
                <c:pt idx="23">
                  <c:v>26</c:v>
                </c:pt>
                <c:pt idx="24">
                  <c:v>25</c:v>
                </c:pt>
                <c:pt idx="25">
                  <c:v>71</c:v>
                </c:pt>
                <c:pt idx="26">
                  <c:v>29</c:v>
                </c:pt>
                <c:pt idx="27">
                  <c:v>29</c:v>
                </c:pt>
                <c:pt idx="28">
                  <c:v>95</c:v>
                </c:pt>
                <c:pt idx="29">
                  <c:v>25</c:v>
                </c:pt>
                <c:pt idx="30">
                  <c:v>25</c:v>
                </c:pt>
                <c:pt idx="31">
                  <c:v>55</c:v>
                </c:pt>
                <c:pt idx="32">
                  <c:v>34</c:v>
                </c:pt>
                <c:pt idx="33">
                  <c:v>25</c:v>
                </c:pt>
                <c:pt idx="34">
                  <c:v>0</c:v>
                </c:pt>
                <c:pt idx="35">
                  <c:v>33</c:v>
                </c:pt>
                <c:pt idx="36">
                  <c:v>39.5</c:v>
                </c:pt>
                <c:pt idx="37">
                  <c:v>39.5</c:v>
                </c:pt>
                <c:pt idx="38">
                  <c:v>8</c:v>
                </c:pt>
                <c:pt idx="39">
                  <c:v>23</c:v>
                </c:pt>
                <c:pt idx="40">
                  <c:v>33</c:v>
                </c:pt>
                <c:pt idx="41">
                  <c:v>27</c:v>
                </c:pt>
                <c:pt idx="42">
                  <c:v>15</c:v>
                </c:pt>
                <c:pt idx="43">
                  <c:v>11.5</c:v>
                </c:pt>
                <c:pt idx="44">
                  <c:v>11.5</c:v>
                </c:pt>
                <c:pt idx="45">
                  <c:v>7</c:v>
                </c:pt>
                <c:pt idx="46">
                  <c:v>16</c:v>
                </c:pt>
                <c:pt idx="47">
                  <c:v>16</c:v>
                </c:pt>
                <c:pt idx="48">
                  <c:v>15</c:v>
                </c:pt>
                <c:pt idx="49">
                  <c:v>21</c:v>
                </c:pt>
                <c:pt idx="50">
                  <c:v>8</c:v>
                </c:pt>
                <c:pt idx="51">
                  <c:v>8</c:v>
                </c:pt>
                <c:pt idx="52">
                  <c:v>2</c:v>
                </c:pt>
                <c:pt idx="53">
                  <c:v>21</c:v>
                </c:pt>
                <c:pt idx="54">
                  <c:v>12</c:v>
                </c:pt>
                <c:pt idx="55">
                  <c:v>28</c:v>
                </c:pt>
                <c:pt idx="5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A21-4292-8E73-EE15084B0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064032"/>
        <c:axId val="590063048"/>
      </c:areaChart>
      <c:dateAx>
        <c:axId val="312047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Offset val="100"/>
        <c:baseTimeUnit val="days"/>
      </c:dateAx>
      <c:valAx>
        <c:axId val="312063496"/>
        <c:scaling>
          <c:orientation val="minMax"/>
          <c:max val="2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midCat"/>
      </c:valAx>
      <c:valAx>
        <c:axId val="590063048"/>
        <c:scaling>
          <c:orientation val="minMax"/>
          <c:max val="32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064032"/>
        <c:crosses val="max"/>
        <c:crossBetween val="midCat"/>
      </c:valAx>
      <c:dateAx>
        <c:axId val="590064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90063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Case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Data!$H$688</c:f>
              <c:strCache>
                <c:ptCount val="1"/>
                <c:pt idx="0">
                  <c:v>Active Cases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invertIfNegative val="0"/>
          <c:cat>
            <c:strRef>
              <c:f>Data!$B$689:$B$700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Data!$H$689:$H$700</c:f>
              <c:numCache>
                <c:formatCode>_-* #,##0_-;\-* #,##0_-;_-* "-"??_-;_-@_-</c:formatCode>
                <c:ptCount val="12"/>
                <c:pt idx="0">
                  <c:v>3846</c:v>
                </c:pt>
                <c:pt idx="1">
                  <c:v>28854</c:v>
                </c:pt>
                <c:pt idx="2">
                  <c:v>303</c:v>
                </c:pt>
                <c:pt idx="3">
                  <c:v>814</c:v>
                </c:pt>
                <c:pt idx="4">
                  <c:v>17</c:v>
                </c:pt>
                <c:pt idx="5">
                  <c:v>88</c:v>
                </c:pt>
                <c:pt idx="6">
                  <c:v>22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34031</c:v>
                </c:pt>
                <c:pt idx="11">
                  <c:v>1122613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54-49E7-B3CD-372686337344}"/>
            </c:ext>
          </c:extLst>
        </c:ser>
        <c:ser>
          <c:idx val="0"/>
          <c:order val="1"/>
          <c:tx>
            <c:strRef>
              <c:f>Data!$E$688</c:f>
              <c:strCache>
                <c:ptCount val="1"/>
                <c:pt idx="0">
                  <c:v>Recovered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strRef>
              <c:f>Data!$B$689:$B$700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Data!$E$689:$E$700</c:f>
              <c:numCache>
                <c:formatCode>_-* #,##0_-;\-* #,##0_-;_-* "-"??_-;_-@_-</c:formatCode>
                <c:ptCount val="12"/>
                <c:pt idx="0">
                  <c:v>19146</c:v>
                </c:pt>
                <c:pt idx="1">
                  <c:v>14044</c:v>
                </c:pt>
                <c:pt idx="2">
                  <c:v>2057</c:v>
                </c:pt>
                <c:pt idx="3">
                  <c:v>5869</c:v>
                </c:pt>
                <c:pt idx="4">
                  <c:v>268</c:v>
                </c:pt>
                <c:pt idx="5">
                  <c:v>535</c:v>
                </c:pt>
                <c:pt idx="6">
                  <c:v>969</c:v>
                </c:pt>
                <c:pt idx="7">
                  <c:v>120</c:v>
                </c:pt>
                <c:pt idx="8">
                  <c:v>27</c:v>
                </c:pt>
                <c:pt idx="9">
                  <c:v>254</c:v>
                </c:pt>
                <c:pt idx="10">
                  <c:v>43207</c:v>
                </c:pt>
                <c:pt idx="11">
                  <c:v>439487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4-49E7-B3CD-372686337344}"/>
            </c:ext>
          </c:extLst>
        </c:ser>
        <c:ser>
          <c:idx val="1"/>
          <c:order val="2"/>
          <c:tx>
            <c:strRef>
              <c:f>Data!$F$688</c:f>
              <c:strCache>
                <c:ptCount val="1"/>
                <c:pt idx="0">
                  <c:v>Deceased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strRef>
              <c:f>Data!$B$689:$B$700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Data!$F$689:$F$700</c:f>
              <c:numCache>
                <c:formatCode>_-* #,##0_-;\-* #,##0_-;_-* "-"??_-;_-@_-</c:formatCode>
                <c:ptCount val="12"/>
                <c:pt idx="0">
                  <c:v>2048</c:v>
                </c:pt>
                <c:pt idx="1">
                  <c:v>3940</c:v>
                </c:pt>
                <c:pt idx="2">
                  <c:v>157</c:v>
                </c:pt>
                <c:pt idx="3">
                  <c:v>135</c:v>
                </c:pt>
                <c:pt idx="4">
                  <c:v>7</c:v>
                </c:pt>
                <c:pt idx="5">
                  <c:v>7</c:v>
                </c:pt>
                <c:pt idx="6">
                  <c:v>58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6352</c:v>
                </c:pt>
                <c:pt idx="11">
                  <c:v>98431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54-49E7-B3CD-372686337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2047096"/>
        <c:axId val="312063496"/>
      </c:barChart>
      <c:catAx>
        <c:axId val="312047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63496"/>
        <c:crosses val="autoZero"/>
        <c:auto val="1"/>
        <c:lblAlgn val="ctr"/>
        <c:lblOffset val="100"/>
        <c:noMultiLvlLbl val="0"/>
      </c:catAx>
      <c:valAx>
        <c:axId val="312063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04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New Deaths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32-4FB4-BC82-34A9451837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32-4FB4-BC82-34A9451837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32-4FB4-BC82-34A9451837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32-4FB4-BC82-34A94518370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532-4FB4-BC82-34A94518370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532-4FB4-BC82-34A94518370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532-4FB4-BC82-34A94518370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532-4FB4-BC82-34A94518370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532-4FB4-BC82-34A94518370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532-4FB4-BC82-34A945183701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532-4FB4-BC82-34A945183701}"/>
                </c:ext>
              </c:extLst>
            </c:dLbl>
            <c:dLbl>
              <c:idx val="5"/>
              <c:layout>
                <c:manualLayout>
                  <c:x val="-6.9611402741323922E-2"/>
                  <c:y val="7.16006227069717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532-4FB4-BC82-34A94518370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532-4FB4-BC82-34A94518370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532-4FB4-BC82-34A94518370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532-4FB4-BC82-34A94518370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532-4FB4-BC82-34A94518370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Data!$B$927:$B$936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Data!$T$927:$T$936</c:f>
              <c:numCache>
                <c:formatCode>_(* #,##0.00_);_(* \(#,##0.00\);_(* "-"??_);_(@_)</c:formatCode>
                <c:ptCount val="10"/>
                <c:pt idx="0">
                  <c:v>0.28670291646070195</c:v>
                </c:pt>
                <c:pt idx="1">
                  <c:v>0.91509913573970514</c:v>
                </c:pt>
                <c:pt idx="2">
                  <c:v>0.28457598178713722</c:v>
                </c:pt>
                <c:pt idx="3">
                  <c:v>0.16458196181698487</c:v>
                </c:pt>
                <c:pt idx="4">
                  <c:v>0</c:v>
                </c:pt>
                <c:pt idx="5">
                  <c:v>0.12210012210012211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532-4FB4-BC82-34A945183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Canada Case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244198051075923E-2"/>
          <c:y val="9.8751975623300237E-2"/>
          <c:w val="0.75575213531379448"/>
          <c:h val="0.6843464187229760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'Graph Data'!$F$126</c:f>
              <c:strCache>
                <c:ptCount val="1"/>
                <c:pt idx="0">
                  <c:v>Active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'Graph Data'!$B$127:$B$198</c:f>
              <c:numCache>
                <c:formatCode>m/d/yyyy</c:formatCode>
                <c:ptCount val="72"/>
                <c:pt idx="0">
                  <c:v>43917</c:v>
                </c:pt>
                <c:pt idx="1">
                  <c:v>43918</c:v>
                </c:pt>
                <c:pt idx="2">
                  <c:v>43919</c:v>
                </c:pt>
                <c:pt idx="3">
                  <c:v>43920</c:v>
                </c:pt>
                <c:pt idx="4">
                  <c:v>43921</c:v>
                </c:pt>
                <c:pt idx="5">
                  <c:v>43922</c:v>
                </c:pt>
                <c:pt idx="6">
                  <c:v>43923</c:v>
                </c:pt>
                <c:pt idx="7">
                  <c:v>43924</c:v>
                </c:pt>
                <c:pt idx="8">
                  <c:v>43925</c:v>
                </c:pt>
                <c:pt idx="9">
                  <c:v>43926</c:v>
                </c:pt>
                <c:pt idx="10">
                  <c:v>43927</c:v>
                </c:pt>
                <c:pt idx="11">
                  <c:v>43928</c:v>
                </c:pt>
                <c:pt idx="12">
                  <c:v>43929</c:v>
                </c:pt>
                <c:pt idx="13">
                  <c:v>43930</c:v>
                </c:pt>
                <c:pt idx="14">
                  <c:v>43931</c:v>
                </c:pt>
                <c:pt idx="15">
                  <c:v>43932</c:v>
                </c:pt>
                <c:pt idx="16">
                  <c:v>43933</c:v>
                </c:pt>
                <c:pt idx="17">
                  <c:v>43934</c:v>
                </c:pt>
                <c:pt idx="18">
                  <c:v>43935</c:v>
                </c:pt>
                <c:pt idx="19">
                  <c:v>43936</c:v>
                </c:pt>
                <c:pt idx="20">
                  <c:v>43937</c:v>
                </c:pt>
                <c:pt idx="21">
                  <c:v>43938</c:v>
                </c:pt>
                <c:pt idx="22">
                  <c:v>43939</c:v>
                </c:pt>
                <c:pt idx="23">
                  <c:v>43940</c:v>
                </c:pt>
                <c:pt idx="24">
                  <c:v>43941</c:v>
                </c:pt>
                <c:pt idx="25">
                  <c:v>43942</c:v>
                </c:pt>
                <c:pt idx="26">
                  <c:v>43943</c:v>
                </c:pt>
                <c:pt idx="27">
                  <c:v>43944</c:v>
                </c:pt>
                <c:pt idx="28">
                  <c:v>43945</c:v>
                </c:pt>
                <c:pt idx="29">
                  <c:v>43946</c:v>
                </c:pt>
                <c:pt idx="30">
                  <c:v>43947</c:v>
                </c:pt>
                <c:pt idx="31">
                  <c:v>43948</c:v>
                </c:pt>
                <c:pt idx="32">
                  <c:v>43949</c:v>
                </c:pt>
                <c:pt idx="33">
                  <c:v>43950</c:v>
                </c:pt>
                <c:pt idx="34">
                  <c:v>43951</c:v>
                </c:pt>
                <c:pt idx="35">
                  <c:v>43952</c:v>
                </c:pt>
                <c:pt idx="36">
                  <c:v>43953</c:v>
                </c:pt>
                <c:pt idx="37">
                  <c:v>43954</c:v>
                </c:pt>
                <c:pt idx="38">
                  <c:v>43955</c:v>
                </c:pt>
                <c:pt idx="39">
                  <c:v>43956</c:v>
                </c:pt>
                <c:pt idx="40">
                  <c:v>43957</c:v>
                </c:pt>
                <c:pt idx="41">
                  <c:v>43958</c:v>
                </c:pt>
                <c:pt idx="42">
                  <c:v>43959</c:v>
                </c:pt>
                <c:pt idx="43">
                  <c:v>43960</c:v>
                </c:pt>
                <c:pt idx="44">
                  <c:v>43961</c:v>
                </c:pt>
                <c:pt idx="45">
                  <c:v>43962</c:v>
                </c:pt>
                <c:pt idx="46">
                  <c:v>43963</c:v>
                </c:pt>
                <c:pt idx="47">
                  <c:v>43964</c:v>
                </c:pt>
                <c:pt idx="48">
                  <c:v>43965</c:v>
                </c:pt>
                <c:pt idx="49">
                  <c:v>43966</c:v>
                </c:pt>
                <c:pt idx="50">
                  <c:v>43967</c:v>
                </c:pt>
                <c:pt idx="51">
                  <c:v>43968</c:v>
                </c:pt>
                <c:pt idx="52">
                  <c:v>43969</c:v>
                </c:pt>
                <c:pt idx="53">
                  <c:v>43970</c:v>
                </c:pt>
                <c:pt idx="54">
                  <c:v>43971</c:v>
                </c:pt>
                <c:pt idx="55">
                  <c:v>43972</c:v>
                </c:pt>
                <c:pt idx="56">
                  <c:v>43973</c:v>
                </c:pt>
                <c:pt idx="57">
                  <c:v>43974</c:v>
                </c:pt>
                <c:pt idx="58">
                  <c:v>43975</c:v>
                </c:pt>
                <c:pt idx="59">
                  <c:v>43976</c:v>
                </c:pt>
                <c:pt idx="60">
                  <c:v>43977</c:v>
                </c:pt>
                <c:pt idx="61">
                  <c:v>43978</c:v>
                </c:pt>
                <c:pt idx="62">
                  <c:v>43979</c:v>
                </c:pt>
                <c:pt idx="63">
                  <c:v>43980</c:v>
                </c:pt>
                <c:pt idx="64">
                  <c:v>43981</c:v>
                </c:pt>
                <c:pt idx="65">
                  <c:v>43982</c:v>
                </c:pt>
                <c:pt idx="66">
                  <c:v>43983</c:v>
                </c:pt>
                <c:pt idx="67">
                  <c:v>43984</c:v>
                </c:pt>
                <c:pt idx="68">
                  <c:v>43985</c:v>
                </c:pt>
                <c:pt idx="69">
                  <c:v>43986</c:v>
                </c:pt>
                <c:pt idx="70">
                  <c:v>43987</c:v>
                </c:pt>
                <c:pt idx="71">
                  <c:v>43988</c:v>
                </c:pt>
              </c:numCache>
            </c:numRef>
          </c:cat>
          <c:val>
            <c:numRef>
              <c:f>'Graph Data'!$F$127:$F$198</c:f>
              <c:numCache>
                <c:formatCode>General</c:formatCode>
                <c:ptCount val="72"/>
                <c:pt idx="0">
                  <c:v>4329</c:v>
                </c:pt>
                <c:pt idx="1">
                  <c:v>5307</c:v>
                </c:pt>
                <c:pt idx="2">
                  <c:v>5800.5</c:v>
                </c:pt>
                <c:pt idx="3">
                  <c:v>6294</c:v>
                </c:pt>
                <c:pt idx="4">
                  <c:v>7248</c:v>
                </c:pt>
                <c:pt idx="5">
                  <c:v>8080</c:v>
                </c:pt>
                <c:pt idx="6">
                  <c:v>9369</c:v>
                </c:pt>
                <c:pt idx="7">
                  <c:v>9992</c:v>
                </c:pt>
                <c:pt idx="8">
                  <c:v>11182</c:v>
                </c:pt>
                <c:pt idx="9">
                  <c:v>11942</c:v>
                </c:pt>
                <c:pt idx="10">
                  <c:v>12702</c:v>
                </c:pt>
                <c:pt idx="11">
                  <c:v>13466</c:v>
                </c:pt>
                <c:pt idx="12">
                  <c:v>14202</c:v>
                </c:pt>
                <c:pt idx="13">
                  <c:v>14945</c:v>
                </c:pt>
                <c:pt idx="14">
                  <c:v>15566</c:v>
                </c:pt>
                <c:pt idx="15">
                  <c:v>16237</c:v>
                </c:pt>
                <c:pt idx="16">
                  <c:v>16690.5</c:v>
                </c:pt>
                <c:pt idx="17">
                  <c:v>17144</c:v>
                </c:pt>
                <c:pt idx="18">
                  <c:v>17944</c:v>
                </c:pt>
                <c:pt idx="19">
                  <c:v>18408</c:v>
                </c:pt>
                <c:pt idx="20">
                  <c:v>19181</c:v>
                </c:pt>
                <c:pt idx="21">
                  <c:v>20074</c:v>
                </c:pt>
                <c:pt idx="22">
                  <c:v>20706</c:v>
                </c:pt>
                <c:pt idx="23">
                  <c:v>21630.5</c:v>
                </c:pt>
                <c:pt idx="24">
                  <c:v>22555</c:v>
                </c:pt>
                <c:pt idx="25">
                  <c:v>23420</c:v>
                </c:pt>
                <c:pt idx="26">
                  <c:v>24230</c:v>
                </c:pt>
                <c:pt idx="27">
                  <c:v>25202</c:v>
                </c:pt>
                <c:pt idx="28">
                  <c:v>26045</c:v>
                </c:pt>
                <c:pt idx="29">
                  <c:v>26455</c:v>
                </c:pt>
                <c:pt idx="30">
                  <c:v>26990</c:v>
                </c:pt>
                <c:pt idx="31">
                  <c:v>27525</c:v>
                </c:pt>
                <c:pt idx="32">
                  <c:v>27936</c:v>
                </c:pt>
                <c:pt idx="33">
                  <c:v>28274</c:v>
                </c:pt>
                <c:pt idx="34">
                  <c:v>28629</c:v>
                </c:pt>
                <c:pt idx="35">
                  <c:v>28919</c:v>
                </c:pt>
                <c:pt idx="36">
                  <c:v>29347</c:v>
                </c:pt>
                <c:pt idx="37">
                  <c:v>30124</c:v>
                </c:pt>
                <c:pt idx="38">
                  <c:v>30901</c:v>
                </c:pt>
                <c:pt idx="39">
                  <c:v>31010</c:v>
                </c:pt>
                <c:pt idx="40">
                  <c:v>31023</c:v>
                </c:pt>
                <c:pt idx="41">
                  <c:v>31459</c:v>
                </c:pt>
                <c:pt idx="42">
                  <c:v>31459</c:v>
                </c:pt>
                <c:pt idx="43">
                  <c:v>31760</c:v>
                </c:pt>
                <c:pt idx="44">
                  <c:v>31877</c:v>
                </c:pt>
                <c:pt idx="45">
                  <c:v>31994</c:v>
                </c:pt>
                <c:pt idx="46">
                  <c:v>31946</c:v>
                </c:pt>
                <c:pt idx="47">
                  <c:v>31817</c:v>
                </c:pt>
                <c:pt idx="48">
                  <c:v>31925</c:v>
                </c:pt>
                <c:pt idx="49">
                  <c:v>32144</c:v>
                </c:pt>
                <c:pt idx="50">
                  <c:v>32366</c:v>
                </c:pt>
                <c:pt idx="51">
                  <c:v>32684</c:v>
                </c:pt>
                <c:pt idx="52">
                  <c:v>33002</c:v>
                </c:pt>
                <c:pt idx="53">
                  <c:v>33150</c:v>
                </c:pt>
                <c:pt idx="54">
                  <c:v>33335</c:v>
                </c:pt>
                <c:pt idx="55">
                  <c:v>33457</c:v>
                </c:pt>
                <c:pt idx="56">
                  <c:v>33636</c:v>
                </c:pt>
                <c:pt idx="57">
                  <c:v>34031</c:v>
                </c:pt>
                <c:pt idx="58">
                  <c:v>34279</c:v>
                </c:pt>
                <c:pt idx="59">
                  <c:v>34527</c:v>
                </c:pt>
                <c:pt idx="60">
                  <c:v>34669</c:v>
                </c:pt>
                <c:pt idx="61">
                  <c:v>34590</c:v>
                </c:pt>
                <c:pt idx="62">
                  <c:v>34795</c:v>
                </c:pt>
                <c:pt idx="63">
                  <c:v>34921</c:v>
                </c:pt>
                <c:pt idx="64">
                  <c:v>35014</c:v>
                </c:pt>
                <c:pt idx="65">
                  <c:v>34833.5</c:v>
                </c:pt>
                <c:pt idx="66">
                  <c:v>34653</c:v>
                </c:pt>
                <c:pt idx="67">
                  <c:v>34658</c:v>
                </c:pt>
                <c:pt idx="68">
                  <c:v>34539</c:v>
                </c:pt>
                <c:pt idx="69">
                  <c:v>34350</c:v>
                </c:pt>
                <c:pt idx="70">
                  <c:v>34064</c:v>
                </c:pt>
                <c:pt idx="71">
                  <c:v>33670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AE-4702-8674-DE38D989D2FE}"/>
            </c:ext>
          </c:extLst>
        </c:ser>
        <c:ser>
          <c:idx val="0"/>
          <c:order val="1"/>
          <c:tx>
            <c:strRef>
              <c:f>'Graph Data'!$C$126</c:f>
              <c:strCache>
                <c:ptCount val="1"/>
                <c:pt idx="0">
                  <c:v>Recovered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'Graph Data'!$B$127:$B$198</c:f>
              <c:numCache>
                <c:formatCode>m/d/yyyy</c:formatCode>
                <c:ptCount val="72"/>
                <c:pt idx="0">
                  <c:v>43917</c:v>
                </c:pt>
                <c:pt idx="1">
                  <c:v>43918</c:v>
                </c:pt>
                <c:pt idx="2">
                  <c:v>43919</c:v>
                </c:pt>
                <c:pt idx="3">
                  <c:v>43920</c:v>
                </c:pt>
                <c:pt idx="4">
                  <c:v>43921</c:v>
                </c:pt>
                <c:pt idx="5">
                  <c:v>43922</c:v>
                </c:pt>
                <c:pt idx="6">
                  <c:v>43923</c:v>
                </c:pt>
                <c:pt idx="7">
                  <c:v>43924</c:v>
                </c:pt>
                <c:pt idx="8">
                  <c:v>43925</c:v>
                </c:pt>
                <c:pt idx="9">
                  <c:v>43926</c:v>
                </c:pt>
                <c:pt idx="10">
                  <c:v>43927</c:v>
                </c:pt>
                <c:pt idx="11">
                  <c:v>43928</c:v>
                </c:pt>
                <c:pt idx="12">
                  <c:v>43929</c:v>
                </c:pt>
                <c:pt idx="13">
                  <c:v>43930</c:v>
                </c:pt>
                <c:pt idx="14">
                  <c:v>43931</c:v>
                </c:pt>
                <c:pt idx="15">
                  <c:v>43932</c:v>
                </c:pt>
                <c:pt idx="16">
                  <c:v>43933</c:v>
                </c:pt>
                <c:pt idx="17">
                  <c:v>43934</c:v>
                </c:pt>
                <c:pt idx="18">
                  <c:v>43935</c:v>
                </c:pt>
                <c:pt idx="19">
                  <c:v>43936</c:v>
                </c:pt>
                <c:pt idx="20">
                  <c:v>43937</c:v>
                </c:pt>
                <c:pt idx="21">
                  <c:v>43938</c:v>
                </c:pt>
                <c:pt idx="22">
                  <c:v>43939</c:v>
                </c:pt>
                <c:pt idx="23">
                  <c:v>43940</c:v>
                </c:pt>
                <c:pt idx="24">
                  <c:v>43941</c:v>
                </c:pt>
                <c:pt idx="25">
                  <c:v>43942</c:v>
                </c:pt>
                <c:pt idx="26">
                  <c:v>43943</c:v>
                </c:pt>
                <c:pt idx="27">
                  <c:v>43944</c:v>
                </c:pt>
                <c:pt idx="28">
                  <c:v>43945</c:v>
                </c:pt>
                <c:pt idx="29">
                  <c:v>43946</c:v>
                </c:pt>
                <c:pt idx="30">
                  <c:v>43947</c:v>
                </c:pt>
                <c:pt idx="31">
                  <c:v>43948</c:v>
                </c:pt>
                <c:pt idx="32">
                  <c:v>43949</c:v>
                </c:pt>
                <c:pt idx="33">
                  <c:v>43950</c:v>
                </c:pt>
                <c:pt idx="34">
                  <c:v>43951</c:v>
                </c:pt>
                <c:pt idx="35">
                  <c:v>43952</c:v>
                </c:pt>
                <c:pt idx="36">
                  <c:v>43953</c:v>
                </c:pt>
                <c:pt idx="37">
                  <c:v>43954</c:v>
                </c:pt>
                <c:pt idx="38">
                  <c:v>43955</c:v>
                </c:pt>
                <c:pt idx="39">
                  <c:v>43956</c:v>
                </c:pt>
                <c:pt idx="40">
                  <c:v>43957</c:v>
                </c:pt>
                <c:pt idx="41">
                  <c:v>43958</c:v>
                </c:pt>
                <c:pt idx="42">
                  <c:v>43959</c:v>
                </c:pt>
                <c:pt idx="43">
                  <c:v>43960</c:v>
                </c:pt>
                <c:pt idx="44">
                  <c:v>43961</c:v>
                </c:pt>
                <c:pt idx="45">
                  <c:v>43962</c:v>
                </c:pt>
                <c:pt idx="46">
                  <c:v>43963</c:v>
                </c:pt>
                <c:pt idx="47">
                  <c:v>43964</c:v>
                </c:pt>
                <c:pt idx="48">
                  <c:v>43965</c:v>
                </c:pt>
                <c:pt idx="49">
                  <c:v>43966</c:v>
                </c:pt>
                <c:pt idx="50">
                  <c:v>43967</c:v>
                </c:pt>
                <c:pt idx="51">
                  <c:v>43968</c:v>
                </c:pt>
                <c:pt idx="52">
                  <c:v>43969</c:v>
                </c:pt>
                <c:pt idx="53">
                  <c:v>43970</c:v>
                </c:pt>
                <c:pt idx="54">
                  <c:v>43971</c:v>
                </c:pt>
                <c:pt idx="55">
                  <c:v>43972</c:v>
                </c:pt>
                <c:pt idx="56">
                  <c:v>43973</c:v>
                </c:pt>
                <c:pt idx="57">
                  <c:v>43974</c:v>
                </c:pt>
                <c:pt idx="58">
                  <c:v>43975</c:v>
                </c:pt>
                <c:pt idx="59">
                  <c:v>43976</c:v>
                </c:pt>
                <c:pt idx="60">
                  <c:v>43977</c:v>
                </c:pt>
                <c:pt idx="61">
                  <c:v>43978</c:v>
                </c:pt>
                <c:pt idx="62">
                  <c:v>43979</c:v>
                </c:pt>
                <c:pt idx="63">
                  <c:v>43980</c:v>
                </c:pt>
                <c:pt idx="64">
                  <c:v>43981</c:v>
                </c:pt>
                <c:pt idx="65">
                  <c:v>43982</c:v>
                </c:pt>
                <c:pt idx="66">
                  <c:v>43983</c:v>
                </c:pt>
                <c:pt idx="67">
                  <c:v>43984</c:v>
                </c:pt>
                <c:pt idx="68">
                  <c:v>43985</c:v>
                </c:pt>
                <c:pt idx="69">
                  <c:v>43986</c:v>
                </c:pt>
                <c:pt idx="70">
                  <c:v>43987</c:v>
                </c:pt>
                <c:pt idx="71">
                  <c:v>43988</c:v>
                </c:pt>
              </c:numCache>
            </c:numRef>
          </c:cat>
          <c:val>
            <c:numRef>
              <c:f>'Graph Data'!$C$127:$C$198</c:f>
              <c:numCache>
                <c:formatCode>General</c:formatCode>
                <c:ptCount val="72"/>
                <c:pt idx="0">
                  <c:v>353</c:v>
                </c:pt>
                <c:pt idx="1">
                  <c:v>508</c:v>
                </c:pt>
                <c:pt idx="2">
                  <c:v>786.5</c:v>
                </c:pt>
                <c:pt idx="3">
                  <c:v>1065</c:v>
                </c:pt>
                <c:pt idx="4">
                  <c:v>1242</c:v>
                </c:pt>
                <c:pt idx="5">
                  <c:v>1541</c:v>
                </c:pt>
                <c:pt idx="6">
                  <c:v>1776</c:v>
                </c:pt>
                <c:pt idx="7">
                  <c:v>2268</c:v>
                </c:pt>
                <c:pt idx="8">
                  <c:v>2603</c:v>
                </c:pt>
                <c:pt idx="9">
                  <c:v>3068.5</c:v>
                </c:pt>
                <c:pt idx="10">
                  <c:v>3534</c:v>
                </c:pt>
                <c:pt idx="11">
                  <c:v>4050</c:v>
                </c:pt>
                <c:pt idx="12">
                  <c:v>4653</c:v>
                </c:pt>
                <c:pt idx="13">
                  <c:v>5311</c:v>
                </c:pt>
                <c:pt idx="14">
                  <c:v>6013</c:v>
                </c:pt>
                <c:pt idx="15">
                  <c:v>6428</c:v>
                </c:pt>
                <c:pt idx="16">
                  <c:v>7092</c:v>
                </c:pt>
                <c:pt idx="17">
                  <c:v>7756</c:v>
                </c:pt>
                <c:pt idx="18">
                  <c:v>8219</c:v>
                </c:pt>
                <c:pt idx="19">
                  <c:v>8979</c:v>
                </c:pt>
                <c:pt idx="20">
                  <c:v>9729</c:v>
                </c:pt>
                <c:pt idx="21">
                  <c:v>10543</c:v>
                </c:pt>
                <c:pt idx="22">
                  <c:v>11207</c:v>
                </c:pt>
                <c:pt idx="23">
                  <c:v>11896.5</c:v>
                </c:pt>
                <c:pt idx="24">
                  <c:v>12586</c:v>
                </c:pt>
                <c:pt idx="25">
                  <c:v>13188</c:v>
                </c:pt>
                <c:pt idx="26">
                  <c:v>13986</c:v>
                </c:pt>
                <c:pt idx="27">
                  <c:v>14761</c:v>
                </c:pt>
                <c:pt idx="28">
                  <c:v>15541</c:v>
                </c:pt>
                <c:pt idx="29">
                  <c:v>16425</c:v>
                </c:pt>
                <c:pt idx="30">
                  <c:v>17346.5</c:v>
                </c:pt>
                <c:pt idx="31">
                  <c:v>18268</c:v>
                </c:pt>
                <c:pt idx="32">
                  <c:v>19231</c:v>
                </c:pt>
                <c:pt idx="33">
                  <c:v>20327</c:v>
                </c:pt>
                <c:pt idx="34">
                  <c:v>21423</c:v>
                </c:pt>
                <c:pt idx="35">
                  <c:v>22751</c:v>
                </c:pt>
                <c:pt idx="36">
                  <c:v>23801</c:v>
                </c:pt>
                <c:pt idx="37">
                  <c:v>24909</c:v>
                </c:pt>
                <c:pt idx="38">
                  <c:v>26017</c:v>
                </c:pt>
                <c:pt idx="39">
                  <c:v>26993</c:v>
                </c:pt>
                <c:pt idx="40">
                  <c:v>28171</c:v>
                </c:pt>
                <c:pt idx="41">
                  <c:v>28972</c:v>
                </c:pt>
                <c:pt idx="42">
                  <c:v>30406</c:v>
                </c:pt>
                <c:pt idx="43">
                  <c:v>31249</c:v>
                </c:pt>
                <c:pt idx="44">
                  <c:v>32121.5</c:v>
                </c:pt>
                <c:pt idx="45">
                  <c:v>32994</c:v>
                </c:pt>
                <c:pt idx="46">
                  <c:v>34042</c:v>
                </c:pt>
                <c:pt idx="47">
                  <c:v>35158</c:v>
                </c:pt>
                <c:pt idx="48">
                  <c:v>36091</c:v>
                </c:pt>
                <c:pt idx="49">
                  <c:v>36895</c:v>
                </c:pt>
                <c:pt idx="50">
                  <c:v>37819</c:v>
                </c:pt>
                <c:pt idx="51">
                  <c:v>38523.5</c:v>
                </c:pt>
                <c:pt idx="52">
                  <c:v>39228</c:v>
                </c:pt>
                <c:pt idx="53">
                  <c:v>40050</c:v>
                </c:pt>
                <c:pt idx="54">
                  <c:v>40776</c:v>
                </c:pt>
                <c:pt idx="55">
                  <c:v>41715</c:v>
                </c:pt>
                <c:pt idx="56">
                  <c:v>42594</c:v>
                </c:pt>
                <c:pt idx="57">
                  <c:v>43207</c:v>
                </c:pt>
                <c:pt idx="58">
                  <c:v>43922.5</c:v>
                </c:pt>
                <c:pt idx="59">
                  <c:v>44638</c:v>
                </c:pt>
                <c:pt idx="60">
                  <c:v>45339</c:v>
                </c:pt>
                <c:pt idx="61">
                  <c:v>46164</c:v>
                </c:pt>
                <c:pt idx="62">
                  <c:v>46840</c:v>
                </c:pt>
                <c:pt idx="63">
                  <c:v>47518</c:v>
                </c:pt>
                <c:pt idx="64">
                  <c:v>48103</c:v>
                </c:pt>
                <c:pt idx="65">
                  <c:v>48914.5</c:v>
                </c:pt>
                <c:pt idx="66">
                  <c:v>49726</c:v>
                </c:pt>
                <c:pt idx="67">
                  <c:v>50357</c:v>
                </c:pt>
                <c:pt idx="68">
                  <c:v>51048</c:v>
                </c:pt>
                <c:pt idx="69">
                  <c:v>51739</c:v>
                </c:pt>
                <c:pt idx="70">
                  <c:v>52568</c:v>
                </c:pt>
                <c:pt idx="71">
                  <c:v>53614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E-4702-8674-DE38D989D2FE}"/>
            </c:ext>
          </c:extLst>
        </c:ser>
        <c:ser>
          <c:idx val="1"/>
          <c:order val="2"/>
          <c:tx>
            <c:strRef>
              <c:f>'Graph Data'!$D$126</c:f>
              <c:strCache>
                <c:ptCount val="1"/>
                <c:pt idx="0">
                  <c:v>Died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'Graph Data'!$B$127:$B$198</c:f>
              <c:numCache>
                <c:formatCode>m/d/yyyy</c:formatCode>
                <c:ptCount val="72"/>
                <c:pt idx="0">
                  <c:v>43917</c:v>
                </c:pt>
                <c:pt idx="1">
                  <c:v>43918</c:v>
                </c:pt>
                <c:pt idx="2">
                  <c:v>43919</c:v>
                </c:pt>
                <c:pt idx="3">
                  <c:v>43920</c:v>
                </c:pt>
                <c:pt idx="4">
                  <c:v>43921</c:v>
                </c:pt>
                <c:pt idx="5">
                  <c:v>43922</c:v>
                </c:pt>
                <c:pt idx="6">
                  <c:v>43923</c:v>
                </c:pt>
                <c:pt idx="7">
                  <c:v>43924</c:v>
                </c:pt>
                <c:pt idx="8">
                  <c:v>43925</c:v>
                </c:pt>
                <c:pt idx="9">
                  <c:v>43926</c:v>
                </c:pt>
                <c:pt idx="10">
                  <c:v>43927</c:v>
                </c:pt>
                <c:pt idx="11">
                  <c:v>43928</c:v>
                </c:pt>
                <c:pt idx="12">
                  <c:v>43929</c:v>
                </c:pt>
                <c:pt idx="13">
                  <c:v>43930</c:v>
                </c:pt>
                <c:pt idx="14">
                  <c:v>43931</c:v>
                </c:pt>
                <c:pt idx="15">
                  <c:v>43932</c:v>
                </c:pt>
                <c:pt idx="16">
                  <c:v>43933</c:v>
                </c:pt>
                <c:pt idx="17">
                  <c:v>43934</c:v>
                </c:pt>
                <c:pt idx="18">
                  <c:v>43935</c:v>
                </c:pt>
                <c:pt idx="19">
                  <c:v>43936</c:v>
                </c:pt>
                <c:pt idx="20">
                  <c:v>43937</c:v>
                </c:pt>
                <c:pt idx="21">
                  <c:v>43938</c:v>
                </c:pt>
                <c:pt idx="22">
                  <c:v>43939</c:v>
                </c:pt>
                <c:pt idx="23">
                  <c:v>43940</c:v>
                </c:pt>
                <c:pt idx="24">
                  <c:v>43941</c:v>
                </c:pt>
                <c:pt idx="25">
                  <c:v>43942</c:v>
                </c:pt>
                <c:pt idx="26">
                  <c:v>43943</c:v>
                </c:pt>
                <c:pt idx="27">
                  <c:v>43944</c:v>
                </c:pt>
                <c:pt idx="28">
                  <c:v>43945</c:v>
                </c:pt>
                <c:pt idx="29">
                  <c:v>43946</c:v>
                </c:pt>
                <c:pt idx="30">
                  <c:v>43947</c:v>
                </c:pt>
                <c:pt idx="31">
                  <c:v>43948</c:v>
                </c:pt>
                <c:pt idx="32">
                  <c:v>43949</c:v>
                </c:pt>
                <c:pt idx="33">
                  <c:v>43950</c:v>
                </c:pt>
                <c:pt idx="34">
                  <c:v>43951</c:v>
                </c:pt>
                <c:pt idx="35">
                  <c:v>43952</c:v>
                </c:pt>
                <c:pt idx="36">
                  <c:v>43953</c:v>
                </c:pt>
                <c:pt idx="37">
                  <c:v>43954</c:v>
                </c:pt>
                <c:pt idx="38">
                  <c:v>43955</c:v>
                </c:pt>
                <c:pt idx="39">
                  <c:v>43956</c:v>
                </c:pt>
                <c:pt idx="40">
                  <c:v>43957</c:v>
                </c:pt>
                <c:pt idx="41">
                  <c:v>43958</c:v>
                </c:pt>
                <c:pt idx="42">
                  <c:v>43959</c:v>
                </c:pt>
                <c:pt idx="43">
                  <c:v>43960</c:v>
                </c:pt>
                <c:pt idx="44">
                  <c:v>43961</c:v>
                </c:pt>
                <c:pt idx="45">
                  <c:v>43962</c:v>
                </c:pt>
                <c:pt idx="46">
                  <c:v>43963</c:v>
                </c:pt>
                <c:pt idx="47">
                  <c:v>43964</c:v>
                </c:pt>
                <c:pt idx="48">
                  <c:v>43965</c:v>
                </c:pt>
                <c:pt idx="49">
                  <c:v>43966</c:v>
                </c:pt>
                <c:pt idx="50">
                  <c:v>43967</c:v>
                </c:pt>
                <c:pt idx="51">
                  <c:v>43968</c:v>
                </c:pt>
                <c:pt idx="52">
                  <c:v>43969</c:v>
                </c:pt>
                <c:pt idx="53">
                  <c:v>43970</c:v>
                </c:pt>
                <c:pt idx="54">
                  <c:v>43971</c:v>
                </c:pt>
                <c:pt idx="55">
                  <c:v>43972</c:v>
                </c:pt>
                <c:pt idx="56">
                  <c:v>43973</c:v>
                </c:pt>
                <c:pt idx="57">
                  <c:v>43974</c:v>
                </c:pt>
                <c:pt idx="58">
                  <c:v>43975</c:v>
                </c:pt>
                <c:pt idx="59">
                  <c:v>43976</c:v>
                </c:pt>
                <c:pt idx="60">
                  <c:v>43977</c:v>
                </c:pt>
                <c:pt idx="61">
                  <c:v>43978</c:v>
                </c:pt>
                <c:pt idx="62">
                  <c:v>43979</c:v>
                </c:pt>
                <c:pt idx="63">
                  <c:v>43980</c:v>
                </c:pt>
                <c:pt idx="64">
                  <c:v>43981</c:v>
                </c:pt>
                <c:pt idx="65">
                  <c:v>43982</c:v>
                </c:pt>
                <c:pt idx="66">
                  <c:v>43983</c:v>
                </c:pt>
                <c:pt idx="67">
                  <c:v>43984</c:v>
                </c:pt>
                <c:pt idx="68">
                  <c:v>43985</c:v>
                </c:pt>
                <c:pt idx="69">
                  <c:v>43986</c:v>
                </c:pt>
                <c:pt idx="70">
                  <c:v>43987</c:v>
                </c:pt>
                <c:pt idx="71">
                  <c:v>43988</c:v>
                </c:pt>
              </c:numCache>
            </c:numRef>
          </c:cat>
          <c:val>
            <c:numRef>
              <c:f>'Graph Data'!$D$127:$D$198</c:f>
              <c:numCache>
                <c:formatCode>General</c:formatCode>
                <c:ptCount val="72"/>
                <c:pt idx="0">
                  <c:v>55</c:v>
                </c:pt>
                <c:pt idx="1">
                  <c:v>63</c:v>
                </c:pt>
                <c:pt idx="2">
                  <c:v>76</c:v>
                </c:pt>
                <c:pt idx="3">
                  <c:v>89</c:v>
                </c:pt>
                <c:pt idx="4">
                  <c:v>101</c:v>
                </c:pt>
                <c:pt idx="5">
                  <c:v>111</c:v>
                </c:pt>
                <c:pt idx="6">
                  <c:v>138</c:v>
                </c:pt>
                <c:pt idx="7">
                  <c:v>182</c:v>
                </c:pt>
                <c:pt idx="8">
                  <c:v>233</c:v>
                </c:pt>
                <c:pt idx="9">
                  <c:v>277.5</c:v>
                </c:pt>
                <c:pt idx="10">
                  <c:v>322</c:v>
                </c:pt>
                <c:pt idx="11">
                  <c:v>381</c:v>
                </c:pt>
                <c:pt idx="12">
                  <c:v>435</c:v>
                </c:pt>
                <c:pt idx="13">
                  <c:v>509</c:v>
                </c:pt>
                <c:pt idx="14">
                  <c:v>569</c:v>
                </c:pt>
                <c:pt idx="15">
                  <c:v>653</c:v>
                </c:pt>
                <c:pt idx="16">
                  <c:v>716.5</c:v>
                </c:pt>
                <c:pt idx="17">
                  <c:v>780</c:v>
                </c:pt>
                <c:pt idx="18">
                  <c:v>900</c:v>
                </c:pt>
                <c:pt idx="19">
                  <c:v>1010</c:v>
                </c:pt>
                <c:pt idx="20">
                  <c:v>1196</c:v>
                </c:pt>
                <c:pt idx="21">
                  <c:v>1310</c:v>
                </c:pt>
                <c:pt idx="22">
                  <c:v>1470</c:v>
                </c:pt>
                <c:pt idx="23">
                  <c:v>1580</c:v>
                </c:pt>
                <c:pt idx="24">
                  <c:v>1690</c:v>
                </c:pt>
                <c:pt idx="25">
                  <c:v>1834</c:v>
                </c:pt>
                <c:pt idx="26">
                  <c:v>1974</c:v>
                </c:pt>
                <c:pt idx="27">
                  <c:v>2147</c:v>
                </c:pt>
                <c:pt idx="28">
                  <c:v>2302</c:v>
                </c:pt>
                <c:pt idx="29">
                  <c:v>2465</c:v>
                </c:pt>
                <c:pt idx="30">
                  <c:v>2586</c:v>
                </c:pt>
                <c:pt idx="31">
                  <c:v>2707</c:v>
                </c:pt>
                <c:pt idx="32">
                  <c:v>2859</c:v>
                </c:pt>
                <c:pt idx="33">
                  <c:v>2996</c:v>
                </c:pt>
                <c:pt idx="34">
                  <c:v>3184</c:v>
                </c:pt>
                <c:pt idx="35">
                  <c:v>3391</c:v>
                </c:pt>
                <c:pt idx="36">
                  <c:v>3566</c:v>
                </c:pt>
                <c:pt idx="37">
                  <c:v>3710</c:v>
                </c:pt>
                <c:pt idx="38">
                  <c:v>3854</c:v>
                </c:pt>
                <c:pt idx="39">
                  <c:v>4043</c:v>
                </c:pt>
                <c:pt idx="40">
                  <c:v>4232</c:v>
                </c:pt>
                <c:pt idx="41">
                  <c:v>4404</c:v>
                </c:pt>
                <c:pt idx="42">
                  <c:v>4569</c:v>
                </c:pt>
                <c:pt idx="43">
                  <c:v>4693</c:v>
                </c:pt>
                <c:pt idx="44">
                  <c:v>4843</c:v>
                </c:pt>
                <c:pt idx="45">
                  <c:v>4993</c:v>
                </c:pt>
                <c:pt idx="46">
                  <c:v>5169</c:v>
                </c:pt>
                <c:pt idx="47">
                  <c:v>5304</c:v>
                </c:pt>
                <c:pt idx="48">
                  <c:v>5472</c:v>
                </c:pt>
                <c:pt idx="49">
                  <c:v>5562</c:v>
                </c:pt>
                <c:pt idx="50">
                  <c:v>5679</c:v>
                </c:pt>
                <c:pt idx="51">
                  <c:v>5760.5</c:v>
                </c:pt>
                <c:pt idx="52">
                  <c:v>5842</c:v>
                </c:pt>
                <c:pt idx="53">
                  <c:v>5912</c:v>
                </c:pt>
                <c:pt idx="54">
                  <c:v>6031</c:v>
                </c:pt>
                <c:pt idx="55">
                  <c:v>6152</c:v>
                </c:pt>
                <c:pt idx="56">
                  <c:v>6250</c:v>
                </c:pt>
                <c:pt idx="57">
                  <c:v>6352</c:v>
                </c:pt>
                <c:pt idx="58">
                  <c:v>6448.5</c:v>
                </c:pt>
                <c:pt idx="59">
                  <c:v>6545</c:v>
                </c:pt>
                <c:pt idx="60">
                  <c:v>6639</c:v>
                </c:pt>
                <c:pt idx="61">
                  <c:v>6765</c:v>
                </c:pt>
                <c:pt idx="62">
                  <c:v>6877</c:v>
                </c:pt>
                <c:pt idx="63">
                  <c:v>6979</c:v>
                </c:pt>
                <c:pt idx="64">
                  <c:v>7073</c:v>
                </c:pt>
                <c:pt idx="65">
                  <c:v>7199.5</c:v>
                </c:pt>
                <c:pt idx="66">
                  <c:v>7326</c:v>
                </c:pt>
                <c:pt idx="67">
                  <c:v>7395</c:v>
                </c:pt>
                <c:pt idx="68">
                  <c:v>7498</c:v>
                </c:pt>
                <c:pt idx="69">
                  <c:v>7637</c:v>
                </c:pt>
                <c:pt idx="70">
                  <c:v>7703</c:v>
                </c:pt>
                <c:pt idx="71">
                  <c:v>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E-4702-8674-DE38D989D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1458408"/>
        <c:axId val="571458080"/>
      </c:barChart>
      <c:lineChart>
        <c:grouping val="standard"/>
        <c:varyColors val="0"/>
        <c:ser>
          <c:idx val="2"/>
          <c:order val="3"/>
          <c:tx>
            <c:strRef>
              <c:f>'Graph Data'!$E$126</c:f>
              <c:strCache>
                <c:ptCount val="1"/>
                <c:pt idx="0">
                  <c:v>Tests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 Data'!$B$127:$B$144</c:f>
              <c:numCache>
                <c:formatCode>m/d/yyyy</c:formatCode>
                <c:ptCount val="18"/>
                <c:pt idx="0">
                  <c:v>43917</c:v>
                </c:pt>
                <c:pt idx="1">
                  <c:v>43918</c:v>
                </c:pt>
                <c:pt idx="2">
                  <c:v>43919</c:v>
                </c:pt>
                <c:pt idx="3">
                  <c:v>43920</c:v>
                </c:pt>
                <c:pt idx="4">
                  <c:v>43921</c:v>
                </c:pt>
                <c:pt idx="5">
                  <c:v>43922</c:v>
                </c:pt>
                <c:pt idx="6">
                  <c:v>43923</c:v>
                </c:pt>
                <c:pt idx="7">
                  <c:v>43924</c:v>
                </c:pt>
                <c:pt idx="8">
                  <c:v>43925</c:v>
                </c:pt>
                <c:pt idx="9">
                  <c:v>43926</c:v>
                </c:pt>
                <c:pt idx="10">
                  <c:v>43927</c:v>
                </c:pt>
                <c:pt idx="11">
                  <c:v>43928</c:v>
                </c:pt>
                <c:pt idx="12">
                  <c:v>43929</c:v>
                </c:pt>
                <c:pt idx="13">
                  <c:v>43930</c:v>
                </c:pt>
                <c:pt idx="14">
                  <c:v>43931</c:v>
                </c:pt>
                <c:pt idx="15">
                  <c:v>43932</c:v>
                </c:pt>
                <c:pt idx="16">
                  <c:v>43933</c:v>
                </c:pt>
                <c:pt idx="17">
                  <c:v>43934</c:v>
                </c:pt>
              </c:numCache>
            </c:numRef>
          </c:cat>
          <c:val>
            <c:numRef>
              <c:f>'Graph Data'!$E$127:$E$198</c:f>
              <c:numCache>
                <c:formatCode>General</c:formatCode>
                <c:ptCount val="72"/>
                <c:pt idx="0">
                  <c:v>175476</c:v>
                </c:pt>
                <c:pt idx="1">
                  <c:v>201890</c:v>
                </c:pt>
                <c:pt idx="2">
                  <c:v>216500.5</c:v>
                </c:pt>
                <c:pt idx="3">
                  <c:v>231111</c:v>
                </c:pt>
                <c:pt idx="4">
                  <c:v>246858</c:v>
                </c:pt>
                <c:pt idx="5">
                  <c:v>264486</c:v>
                </c:pt>
                <c:pt idx="6">
                  <c:v>282649</c:v>
                </c:pt>
                <c:pt idx="7">
                  <c:v>300714</c:v>
                </c:pt>
                <c:pt idx="8">
                  <c:v>323021</c:v>
                </c:pt>
                <c:pt idx="9">
                  <c:v>333360.5</c:v>
                </c:pt>
                <c:pt idx="10">
                  <c:v>343700</c:v>
                </c:pt>
                <c:pt idx="11">
                  <c:v>357182</c:v>
                </c:pt>
                <c:pt idx="12">
                  <c:v>371090</c:v>
                </c:pt>
                <c:pt idx="13">
                  <c:v>384820</c:v>
                </c:pt>
                <c:pt idx="14">
                  <c:v>393626</c:v>
                </c:pt>
                <c:pt idx="15">
                  <c:v>407865</c:v>
                </c:pt>
                <c:pt idx="16">
                  <c:v>426749.5</c:v>
                </c:pt>
                <c:pt idx="17">
                  <c:v>445634</c:v>
                </c:pt>
                <c:pt idx="18">
                  <c:v>462414</c:v>
                </c:pt>
                <c:pt idx="19">
                  <c:v>479458</c:v>
                </c:pt>
                <c:pt idx="20">
                  <c:v>499893</c:v>
                </c:pt>
                <c:pt idx="21">
                  <c:v>524466</c:v>
                </c:pt>
                <c:pt idx="22">
                  <c:v>547575</c:v>
                </c:pt>
                <c:pt idx="23">
                  <c:v>567839</c:v>
                </c:pt>
                <c:pt idx="24">
                  <c:v>588103</c:v>
                </c:pt>
                <c:pt idx="25">
                  <c:v>610234</c:v>
                </c:pt>
                <c:pt idx="26">
                  <c:v>635858</c:v>
                </c:pt>
                <c:pt idx="27">
                  <c:v>652337</c:v>
                </c:pt>
                <c:pt idx="28">
                  <c:v>679562</c:v>
                </c:pt>
                <c:pt idx="29">
                  <c:v>704711</c:v>
                </c:pt>
                <c:pt idx="30">
                  <c:v>733295</c:v>
                </c:pt>
                <c:pt idx="31">
                  <c:v>761879</c:v>
                </c:pt>
                <c:pt idx="32">
                  <c:v>779548</c:v>
                </c:pt>
                <c:pt idx="33">
                  <c:v>810103</c:v>
                </c:pt>
                <c:pt idx="34">
                  <c:v>833611</c:v>
                </c:pt>
                <c:pt idx="35">
                  <c:v>866221</c:v>
                </c:pt>
                <c:pt idx="36">
                  <c:v>891249</c:v>
                </c:pt>
                <c:pt idx="37">
                  <c:v>924654</c:v>
                </c:pt>
                <c:pt idx="38">
                  <c:v>958059</c:v>
                </c:pt>
                <c:pt idx="39">
                  <c:v>974510</c:v>
                </c:pt>
                <c:pt idx="40">
                  <c:v>995483</c:v>
                </c:pt>
                <c:pt idx="41">
                  <c:v>1019690</c:v>
                </c:pt>
                <c:pt idx="42">
                  <c:v>1074610</c:v>
                </c:pt>
                <c:pt idx="43">
                  <c:v>1115121</c:v>
                </c:pt>
                <c:pt idx="44">
                  <c:v>1139743</c:v>
                </c:pt>
                <c:pt idx="45">
                  <c:v>1164365</c:v>
                </c:pt>
                <c:pt idx="46">
                  <c:v>1182463</c:v>
                </c:pt>
                <c:pt idx="47">
                  <c:v>1227578</c:v>
                </c:pt>
                <c:pt idx="48">
                  <c:v>1253649</c:v>
                </c:pt>
                <c:pt idx="49">
                  <c:v>1280013</c:v>
                </c:pt>
                <c:pt idx="50">
                  <c:v>1329948</c:v>
                </c:pt>
                <c:pt idx="51">
                  <c:v>1351830</c:v>
                </c:pt>
                <c:pt idx="52">
                  <c:v>1373712</c:v>
                </c:pt>
                <c:pt idx="53">
                  <c:v>1384215</c:v>
                </c:pt>
                <c:pt idx="54">
                  <c:v>1416537</c:v>
                </c:pt>
                <c:pt idx="55">
                  <c:v>1456419</c:v>
                </c:pt>
                <c:pt idx="56">
                  <c:v>1472899</c:v>
                </c:pt>
                <c:pt idx="57">
                  <c:v>1511872</c:v>
                </c:pt>
                <c:pt idx="58">
                  <c:v>1529583</c:v>
                </c:pt>
                <c:pt idx="59">
                  <c:v>1547294</c:v>
                </c:pt>
                <c:pt idx="60">
                  <c:v>1574149</c:v>
                </c:pt>
                <c:pt idx="61">
                  <c:v>1598979</c:v>
                </c:pt>
                <c:pt idx="62">
                  <c:v>1606018</c:v>
                </c:pt>
                <c:pt idx="63">
                  <c:v>1666627</c:v>
                </c:pt>
                <c:pt idx="64">
                  <c:v>1710723</c:v>
                </c:pt>
                <c:pt idx="65">
                  <c:v>1740154</c:v>
                </c:pt>
                <c:pt idx="66">
                  <c:v>1769585</c:v>
                </c:pt>
                <c:pt idx="67">
                  <c:v>1807542</c:v>
                </c:pt>
                <c:pt idx="68">
                  <c:v>1844637</c:v>
                </c:pt>
                <c:pt idx="69">
                  <c:v>1884476</c:v>
                </c:pt>
                <c:pt idx="70">
                  <c:v>1923515</c:v>
                </c:pt>
                <c:pt idx="71">
                  <c:v>1958306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AE-4702-8674-DE38D989D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485176"/>
        <c:axId val="594462544"/>
      </c:lineChart>
      <c:dateAx>
        <c:axId val="5714584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458080"/>
        <c:crosses val="autoZero"/>
        <c:auto val="1"/>
        <c:lblOffset val="100"/>
        <c:baseTimeUnit val="days"/>
      </c:dateAx>
      <c:valAx>
        <c:axId val="571458080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458408"/>
        <c:crosses val="autoZero"/>
        <c:crossBetween val="between"/>
      </c:valAx>
      <c:valAx>
        <c:axId val="594462544"/>
        <c:scaling>
          <c:orientation val="minMax"/>
          <c:max val="40000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85176"/>
        <c:crosses val="max"/>
        <c:crossBetween val="between"/>
      </c:valAx>
      <c:dateAx>
        <c:axId val="594485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9446254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BC Case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244198051075923E-2"/>
          <c:y val="9.8751975623300237E-2"/>
          <c:w val="0.75575213531379448"/>
          <c:h val="0.6843464187229760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'Graph Data'!$L$126</c:f>
              <c:strCache>
                <c:ptCount val="1"/>
                <c:pt idx="0">
                  <c:v>Active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'Graph Data'!$H$127:$H$198</c:f>
              <c:numCache>
                <c:formatCode>m/d/yyyy</c:formatCode>
                <c:ptCount val="72"/>
                <c:pt idx="0">
                  <c:v>43917</c:v>
                </c:pt>
                <c:pt idx="1">
                  <c:v>43918</c:v>
                </c:pt>
                <c:pt idx="2">
                  <c:v>43919</c:v>
                </c:pt>
                <c:pt idx="3">
                  <c:v>43920</c:v>
                </c:pt>
                <c:pt idx="4">
                  <c:v>43921</c:v>
                </c:pt>
                <c:pt idx="5">
                  <c:v>43922</c:v>
                </c:pt>
                <c:pt idx="6">
                  <c:v>43923</c:v>
                </c:pt>
                <c:pt idx="7">
                  <c:v>43924</c:v>
                </c:pt>
                <c:pt idx="8">
                  <c:v>43925</c:v>
                </c:pt>
                <c:pt idx="9">
                  <c:v>43926</c:v>
                </c:pt>
                <c:pt idx="10">
                  <c:v>43927</c:v>
                </c:pt>
                <c:pt idx="11">
                  <c:v>43928</c:v>
                </c:pt>
                <c:pt idx="12">
                  <c:v>43929</c:v>
                </c:pt>
                <c:pt idx="13">
                  <c:v>43930</c:v>
                </c:pt>
                <c:pt idx="14">
                  <c:v>43931</c:v>
                </c:pt>
                <c:pt idx="15">
                  <c:v>43932</c:v>
                </c:pt>
                <c:pt idx="16">
                  <c:v>43933</c:v>
                </c:pt>
                <c:pt idx="17">
                  <c:v>43934</c:v>
                </c:pt>
                <c:pt idx="18">
                  <c:v>43935</c:v>
                </c:pt>
                <c:pt idx="19">
                  <c:v>43936</c:v>
                </c:pt>
                <c:pt idx="20">
                  <c:v>43937</c:v>
                </c:pt>
                <c:pt idx="21">
                  <c:v>43938</c:v>
                </c:pt>
                <c:pt idx="22">
                  <c:v>43939</c:v>
                </c:pt>
                <c:pt idx="23">
                  <c:v>43940</c:v>
                </c:pt>
                <c:pt idx="24">
                  <c:v>43941</c:v>
                </c:pt>
                <c:pt idx="25">
                  <c:v>43942</c:v>
                </c:pt>
                <c:pt idx="26">
                  <c:v>43943</c:v>
                </c:pt>
                <c:pt idx="27">
                  <c:v>43944</c:v>
                </c:pt>
                <c:pt idx="28">
                  <c:v>43945</c:v>
                </c:pt>
                <c:pt idx="29">
                  <c:v>43946</c:v>
                </c:pt>
                <c:pt idx="30">
                  <c:v>43947</c:v>
                </c:pt>
                <c:pt idx="31">
                  <c:v>43948</c:v>
                </c:pt>
                <c:pt idx="32">
                  <c:v>43949</c:v>
                </c:pt>
                <c:pt idx="33">
                  <c:v>43950</c:v>
                </c:pt>
                <c:pt idx="34">
                  <c:v>43951</c:v>
                </c:pt>
                <c:pt idx="35">
                  <c:v>43952</c:v>
                </c:pt>
                <c:pt idx="36">
                  <c:v>43953</c:v>
                </c:pt>
                <c:pt idx="37">
                  <c:v>43954</c:v>
                </c:pt>
                <c:pt idx="38">
                  <c:v>43955</c:v>
                </c:pt>
                <c:pt idx="39">
                  <c:v>43956</c:v>
                </c:pt>
                <c:pt idx="40">
                  <c:v>43957</c:v>
                </c:pt>
                <c:pt idx="41">
                  <c:v>43958</c:v>
                </c:pt>
                <c:pt idx="42">
                  <c:v>43959</c:v>
                </c:pt>
                <c:pt idx="43">
                  <c:v>43960</c:v>
                </c:pt>
                <c:pt idx="44">
                  <c:v>43961</c:v>
                </c:pt>
                <c:pt idx="45">
                  <c:v>43962</c:v>
                </c:pt>
                <c:pt idx="46">
                  <c:v>43963</c:v>
                </c:pt>
                <c:pt idx="47">
                  <c:v>43964</c:v>
                </c:pt>
                <c:pt idx="48">
                  <c:v>43965</c:v>
                </c:pt>
                <c:pt idx="49">
                  <c:v>43966</c:v>
                </c:pt>
                <c:pt idx="50">
                  <c:v>43967</c:v>
                </c:pt>
                <c:pt idx="51">
                  <c:v>43968</c:v>
                </c:pt>
                <c:pt idx="52">
                  <c:v>43969</c:v>
                </c:pt>
                <c:pt idx="53">
                  <c:v>43970</c:v>
                </c:pt>
                <c:pt idx="54">
                  <c:v>43971</c:v>
                </c:pt>
                <c:pt idx="55">
                  <c:v>43972</c:v>
                </c:pt>
                <c:pt idx="56">
                  <c:v>43973</c:v>
                </c:pt>
                <c:pt idx="57">
                  <c:v>43974</c:v>
                </c:pt>
                <c:pt idx="58">
                  <c:v>43975</c:v>
                </c:pt>
                <c:pt idx="59">
                  <c:v>43976</c:v>
                </c:pt>
                <c:pt idx="60">
                  <c:v>43977</c:v>
                </c:pt>
                <c:pt idx="61">
                  <c:v>43978</c:v>
                </c:pt>
                <c:pt idx="62">
                  <c:v>43979</c:v>
                </c:pt>
                <c:pt idx="63">
                  <c:v>43980</c:v>
                </c:pt>
                <c:pt idx="64">
                  <c:v>43981</c:v>
                </c:pt>
                <c:pt idx="65">
                  <c:v>43982</c:v>
                </c:pt>
                <c:pt idx="66">
                  <c:v>43983</c:v>
                </c:pt>
                <c:pt idx="67">
                  <c:v>43984</c:v>
                </c:pt>
                <c:pt idx="68">
                  <c:v>43985</c:v>
                </c:pt>
                <c:pt idx="69">
                  <c:v>43986</c:v>
                </c:pt>
                <c:pt idx="70">
                  <c:v>43987</c:v>
                </c:pt>
                <c:pt idx="71">
                  <c:v>43988</c:v>
                </c:pt>
              </c:numCache>
            </c:numRef>
          </c:cat>
          <c:val>
            <c:numRef>
              <c:f>'Graph Data'!$L$127:$L$198</c:f>
              <c:numCache>
                <c:formatCode>General</c:formatCode>
                <c:ptCount val="72"/>
                <c:pt idx="0">
                  <c:v>501</c:v>
                </c:pt>
                <c:pt idx="1">
                  <c:v>471</c:v>
                </c:pt>
                <c:pt idx="2">
                  <c:v>476.5</c:v>
                </c:pt>
                <c:pt idx="3">
                  <c:v>482</c:v>
                </c:pt>
                <c:pt idx="4">
                  <c:v>482</c:v>
                </c:pt>
                <c:pt idx="5">
                  <c:v>435</c:v>
                </c:pt>
                <c:pt idx="6">
                  <c:v>449</c:v>
                </c:pt>
                <c:pt idx="7">
                  <c:v>498</c:v>
                </c:pt>
                <c:pt idx="8">
                  <c:v>461</c:v>
                </c:pt>
                <c:pt idx="9">
                  <c:v>452.5</c:v>
                </c:pt>
                <c:pt idx="10">
                  <c:v>444</c:v>
                </c:pt>
                <c:pt idx="11">
                  <c:v>443</c:v>
                </c:pt>
                <c:pt idx="12">
                  <c:v>450</c:v>
                </c:pt>
                <c:pt idx="13">
                  <c:v>468</c:v>
                </c:pt>
                <c:pt idx="14">
                  <c:v>476</c:v>
                </c:pt>
                <c:pt idx="15">
                  <c:v>482</c:v>
                </c:pt>
                <c:pt idx="16">
                  <c:v>488.5</c:v>
                </c:pt>
                <c:pt idx="17">
                  <c:v>495</c:v>
                </c:pt>
                <c:pt idx="18">
                  <c:v>503</c:v>
                </c:pt>
                <c:pt idx="19">
                  <c:v>491</c:v>
                </c:pt>
                <c:pt idx="20">
                  <c:v>514</c:v>
                </c:pt>
                <c:pt idx="21">
                  <c:v>574</c:v>
                </c:pt>
                <c:pt idx="22">
                  <c:v>579</c:v>
                </c:pt>
                <c:pt idx="23">
                  <c:v>576.5</c:v>
                </c:pt>
                <c:pt idx="24">
                  <c:v>574</c:v>
                </c:pt>
                <c:pt idx="25">
                  <c:v>596</c:v>
                </c:pt>
                <c:pt idx="26">
                  <c:v>626</c:v>
                </c:pt>
                <c:pt idx="27">
                  <c:v>638</c:v>
                </c:pt>
                <c:pt idx="28">
                  <c:v>641</c:v>
                </c:pt>
                <c:pt idx="29">
                  <c:v>711</c:v>
                </c:pt>
                <c:pt idx="30">
                  <c:v>708</c:v>
                </c:pt>
                <c:pt idx="31">
                  <c:v>705</c:v>
                </c:pt>
                <c:pt idx="32">
                  <c:v>717</c:v>
                </c:pt>
                <c:pt idx="33">
                  <c:v>673</c:v>
                </c:pt>
                <c:pt idx="34">
                  <c:v>676</c:v>
                </c:pt>
                <c:pt idx="35">
                  <c:v>679</c:v>
                </c:pt>
                <c:pt idx="36">
                  <c:v>676</c:v>
                </c:pt>
                <c:pt idx="37">
                  <c:v>683</c:v>
                </c:pt>
                <c:pt idx="38">
                  <c:v>690</c:v>
                </c:pt>
                <c:pt idx="39">
                  <c:v>639</c:v>
                </c:pt>
                <c:pt idx="40">
                  <c:v>637</c:v>
                </c:pt>
                <c:pt idx="41">
                  <c:v>650</c:v>
                </c:pt>
                <c:pt idx="42">
                  <c:v>609</c:v>
                </c:pt>
                <c:pt idx="43">
                  <c:v>542</c:v>
                </c:pt>
                <c:pt idx="44">
                  <c:v>523</c:v>
                </c:pt>
                <c:pt idx="45">
                  <c:v>504</c:v>
                </c:pt>
                <c:pt idx="46">
                  <c:v>397</c:v>
                </c:pt>
                <c:pt idx="47">
                  <c:v>385</c:v>
                </c:pt>
                <c:pt idx="48">
                  <c:v>372</c:v>
                </c:pt>
                <c:pt idx="49">
                  <c:v>359</c:v>
                </c:pt>
                <c:pt idx="50">
                  <c:v>355</c:v>
                </c:pt>
                <c:pt idx="51">
                  <c:v>345</c:v>
                </c:pt>
                <c:pt idx="52">
                  <c:v>335</c:v>
                </c:pt>
                <c:pt idx="53">
                  <c:v>325</c:v>
                </c:pt>
                <c:pt idx="54">
                  <c:v>343</c:v>
                </c:pt>
                <c:pt idx="55">
                  <c:v>307</c:v>
                </c:pt>
                <c:pt idx="56">
                  <c:v>310</c:v>
                </c:pt>
                <c:pt idx="57">
                  <c:v>303</c:v>
                </c:pt>
                <c:pt idx="58">
                  <c:v>284.5</c:v>
                </c:pt>
                <c:pt idx="59">
                  <c:v>266</c:v>
                </c:pt>
                <c:pt idx="60">
                  <c:v>258</c:v>
                </c:pt>
                <c:pt idx="61">
                  <c:v>244</c:v>
                </c:pt>
                <c:pt idx="62">
                  <c:v>241</c:v>
                </c:pt>
                <c:pt idx="63">
                  <c:v>228</c:v>
                </c:pt>
                <c:pt idx="64">
                  <c:v>228</c:v>
                </c:pt>
                <c:pt idx="65">
                  <c:v>226.5</c:v>
                </c:pt>
                <c:pt idx="66">
                  <c:v>225</c:v>
                </c:pt>
                <c:pt idx="67">
                  <c:v>207</c:v>
                </c:pt>
                <c:pt idx="68">
                  <c:v>214</c:v>
                </c:pt>
                <c:pt idx="69">
                  <c:v>201</c:v>
                </c:pt>
                <c:pt idx="70">
                  <c:v>193</c:v>
                </c:pt>
                <c:pt idx="71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EF-43AA-9FA8-144F40E41836}"/>
            </c:ext>
          </c:extLst>
        </c:ser>
        <c:ser>
          <c:idx val="3"/>
          <c:order val="1"/>
          <c:tx>
            <c:strRef>
              <c:f>'Graph Data'!$I$126</c:f>
              <c:strCache>
                <c:ptCount val="1"/>
                <c:pt idx="0">
                  <c:v>Recovered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'Graph Data'!$H$127:$H$198</c:f>
              <c:numCache>
                <c:formatCode>m/d/yyyy</c:formatCode>
                <c:ptCount val="72"/>
                <c:pt idx="0">
                  <c:v>43917</c:v>
                </c:pt>
                <c:pt idx="1">
                  <c:v>43918</c:v>
                </c:pt>
                <c:pt idx="2">
                  <c:v>43919</c:v>
                </c:pt>
                <c:pt idx="3">
                  <c:v>43920</c:v>
                </c:pt>
                <c:pt idx="4">
                  <c:v>43921</c:v>
                </c:pt>
                <c:pt idx="5">
                  <c:v>43922</c:v>
                </c:pt>
                <c:pt idx="6">
                  <c:v>43923</c:v>
                </c:pt>
                <c:pt idx="7">
                  <c:v>43924</c:v>
                </c:pt>
                <c:pt idx="8">
                  <c:v>43925</c:v>
                </c:pt>
                <c:pt idx="9">
                  <c:v>43926</c:v>
                </c:pt>
                <c:pt idx="10">
                  <c:v>43927</c:v>
                </c:pt>
                <c:pt idx="11">
                  <c:v>43928</c:v>
                </c:pt>
                <c:pt idx="12">
                  <c:v>43929</c:v>
                </c:pt>
                <c:pt idx="13">
                  <c:v>43930</c:v>
                </c:pt>
                <c:pt idx="14">
                  <c:v>43931</c:v>
                </c:pt>
                <c:pt idx="15">
                  <c:v>43932</c:v>
                </c:pt>
                <c:pt idx="16">
                  <c:v>43933</c:v>
                </c:pt>
                <c:pt idx="17">
                  <c:v>43934</c:v>
                </c:pt>
                <c:pt idx="18">
                  <c:v>43935</c:v>
                </c:pt>
                <c:pt idx="19">
                  <c:v>43936</c:v>
                </c:pt>
                <c:pt idx="20">
                  <c:v>43937</c:v>
                </c:pt>
                <c:pt idx="21">
                  <c:v>43938</c:v>
                </c:pt>
                <c:pt idx="22">
                  <c:v>43939</c:v>
                </c:pt>
                <c:pt idx="23">
                  <c:v>43940</c:v>
                </c:pt>
                <c:pt idx="24">
                  <c:v>43941</c:v>
                </c:pt>
                <c:pt idx="25">
                  <c:v>43942</c:v>
                </c:pt>
                <c:pt idx="26">
                  <c:v>43943</c:v>
                </c:pt>
                <c:pt idx="27">
                  <c:v>43944</c:v>
                </c:pt>
                <c:pt idx="28">
                  <c:v>43945</c:v>
                </c:pt>
                <c:pt idx="29">
                  <c:v>43946</c:v>
                </c:pt>
                <c:pt idx="30">
                  <c:v>43947</c:v>
                </c:pt>
                <c:pt idx="31">
                  <c:v>43948</c:v>
                </c:pt>
                <c:pt idx="32">
                  <c:v>43949</c:v>
                </c:pt>
                <c:pt idx="33">
                  <c:v>43950</c:v>
                </c:pt>
                <c:pt idx="34">
                  <c:v>43951</c:v>
                </c:pt>
                <c:pt idx="35">
                  <c:v>43952</c:v>
                </c:pt>
                <c:pt idx="36">
                  <c:v>43953</c:v>
                </c:pt>
                <c:pt idx="37">
                  <c:v>43954</c:v>
                </c:pt>
                <c:pt idx="38">
                  <c:v>43955</c:v>
                </c:pt>
                <c:pt idx="39">
                  <c:v>43956</c:v>
                </c:pt>
                <c:pt idx="40">
                  <c:v>43957</c:v>
                </c:pt>
                <c:pt idx="41">
                  <c:v>43958</c:v>
                </c:pt>
                <c:pt idx="42">
                  <c:v>43959</c:v>
                </c:pt>
                <c:pt idx="43">
                  <c:v>43960</c:v>
                </c:pt>
                <c:pt idx="44">
                  <c:v>43961</c:v>
                </c:pt>
                <c:pt idx="45">
                  <c:v>43962</c:v>
                </c:pt>
                <c:pt idx="46">
                  <c:v>43963</c:v>
                </c:pt>
                <c:pt idx="47">
                  <c:v>43964</c:v>
                </c:pt>
                <c:pt idx="48">
                  <c:v>43965</c:v>
                </c:pt>
                <c:pt idx="49">
                  <c:v>43966</c:v>
                </c:pt>
                <c:pt idx="50">
                  <c:v>43967</c:v>
                </c:pt>
                <c:pt idx="51">
                  <c:v>43968</c:v>
                </c:pt>
                <c:pt idx="52">
                  <c:v>43969</c:v>
                </c:pt>
                <c:pt idx="53">
                  <c:v>43970</c:v>
                </c:pt>
                <c:pt idx="54">
                  <c:v>43971</c:v>
                </c:pt>
                <c:pt idx="55">
                  <c:v>43972</c:v>
                </c:pt>
                <c:pt idx="56">
                  <c:v>43973</c:v>
                </c:pt>
                <c:pt idx="57">
                  <c:v>43974</c:v>
                </c:pt>
                <c:pt idx="58">
                  <c:v>43975</c:v>
                </c:pt>
                <c:pt idx="59">
                  <c:v>43976</c:v>
                </c:pt>
                <c:pt idx="60">
                  <c:v>43977</c:v>
                </c:pt>
                <c:pt idx="61">
                  <c:v>43978</c:v>
                </c:pt>
                <c:pt idx="62">
                  <c:v>43979</c:v>
                </c:pt>
                <c:pt idx="63">
                  <c:v>43980</c:v>
                </c:pt>
                <c:pt idx="64">
                  <c:v>43981</c:v>
                </c:pt>
                <c:pt idx="65">
                  <c:v>43982</c:v>
                </c:pt>
                <c:pt idx="66">
                  <c:v>43983</c:v>
                </c:pt>
                <c:pt idx="67">
                  <c:v>43984</c:v>
                </c:pt>
                <c:pt idx="68">
                  <c:v>43985</c:v>
                </c:pt>
                <c:pt idx="69">
                  <c:v>43986</c:v>
                </c:pt>
                <c:pt idx="70">
                  <c:v>43987</c:v>
                </c:pt>
                <c:pt idx="71">
                  <c:v>43988</c:v>
                </c:pt>
              </c:numCache>
            </c:numRef>
          </c:cat>
          <c:val>
            <c:numRef>
              <c:f>'Graph Data'!$I$127:$I$198</c:f>
              <c:numCache>
                <c:formatCode>General</c:formatCode>
                <c:ptCount val="72"/>
                <c:pt idx="0">
                  <c:v>275</c:v>
                </c:pt>
                <c:pt idx="1">
                  <c:v>396</c:v>
                </c:pt>
                <c:pt idx="2">
                  <c:v>432.5</c:v>
                </c:pt>
                <c:pt idx="3">
                  <c:v>469</c:v>
                </c:pt>
                <c:pt idx="4">
                  <c:v>507</c:v>
                </c:pt>
                <c:pt idx="5">
                  <c:v>606</c:v>
                </c:pt>
                <c:pt idx="6">
                  <c:v>641</c:v>
                </c:pt>
                <c:pt idx="7">
                  <c:v>641</c:v>
                </c:pt>
                <c:pt idx="8">
                  <c:v>704</c:v>
                </c:pt>
                <c:pt idx="9">
                  <c:v>743.5</c:v>
                </c:pt>
                <c:pt idx="10">
                  <c:v>783</c:v>
                </c:pt>
                <c:pt idx="11">
                  <c:v>805</c:v>
                </c:pt>
                <c:pt idx="12">
                  <c:v>838</c:v>
                </c:pt>
                <c:pt idx="13">
                  <c:v>858</c:v>
                </c:pt>
                <c:pt idx="14">
                  <c:v>879</c:v>
                </c:pt>
                <c:pt idx="15">
                  <c:v>905</c:v>
                </c:pt>
                <c:pt idx="16">
                  <c:v>915.5</c:v>
                </c:pt>
                <c:pt idx="17">
                  <c:v>926</c:v>
                </c:pt>
                <c:pt idx="18">
                  <c:v>942</c:v>
                </c:pt>
                <c:pt idx="19">
                  <c:v>995</c:v>
                </c:pt>
                <c:pt idx="20">
                  <c:v>983</c:v>
                </c:pt>
                <c:pt idx="21">
                  <c:v>966</c:v>
                </c:pt>
                <c:pt idx="22">
                  <c:v>987</c:v>
                </c:pt>
                <c:pt idx="23">
                  <c:v>1013</c:v>
                </c:pt>
                <c:pt idx="24">
                  <c:v>1039</c:v>
                </c:pt>
                <c:pt idx="25">
                  <c:v>1041</c:v>
                </c:pt>
                <c:pt idx="26">
                  <c:v>1079</c:v>
                </c:pt>
                <c:pt idx="27">
                  <c:v>1092</c:v>
                </c:pt>
                <c:pt idx="28">
                  <c:v>1114</c:v>
                </c:pt>
                <c:pt idx="29">
                  <c:v>1137</c:v>
                </c:pt>
                <c:pt idx="30">
                  <c:v>1163.5</c:v>
                </c:pt>
                <c:pt idx="31">
                  <c:v>1190</c:v>
                </c:pt>
                <c:pt idx="32">
                  <c:v>1231</c:v>
                </c:pt>
                <c:pt idx="33">
                  <c:v>1305</c:v>
                </c:pt>
                <c:pt idx="34">
                  <c:v>1325</c:v>
                </c:pt>
                <c:pt idx="35">
                  <c:v>1322</c:v>
                </c:pt>
                <c:pt idx="36">
                  <c:v>1357</c:v>
                </c:pt>
                <c:pt idx="37">
                  <c:v>1387</c:v>
                </c:pt>
                <c:pt idx="38">
                  <c:v>1417</c:v>
                </c:pt>
                <c:pt idx="39">
                  <c:v>1472</c:v>
                </c:pt>
                <c:pt idx="40">
                  <c:v>1494</c:v>
                </c:pt>
                <c:pt idx="41">
                  <c:v>1512</c:v>
                </c:pt>
                <c:pt idx="42">
                  <c:v>1579</c:v>
                </c:pt>
                <c:pt idx="43">
                  <c:v>1659</c:v>
                </c:pt>
                <c:pt idx="44">
                  <c:v>1689</c:v>
                </c:pt>
                <c:pt idx="45">
                  <c:v>1719</c:v>
                </c:pt>
                <c:pt idx="46">
                  <c:v>1832</c:v>
                </c:pt>
                <c:pt idx="47">
                  <c:v>1859</c:v>
                </c:pt>
                <c:pt idx="48">
                  <c:v>1885</c:v>
                </c:pt>
                <c:pt idx="49">
                  <c:v>1908</c:v>
                </c:pt>
                <c:pt idx="50">
                  <c:v>1932</c:v>
                </c:pt>
                <c:pt idx="51">
                  <c:v>1949</c:v>
                </c:pt>
                <c:pt idx="52">
                  <c:v>1966</c:v>
                </c:pt>
                <c:pt idx="53">
                  <c:v>1975</c:v>
                </c:pt>
                <c:pt idx="54">
                  <c:v>1975</c:v>
                </c:pt>
                <c:pt idx="55">
                  <c:v>2020</c:v>
                </c:pt>
                <c:pt idx="56">
                  <c:v>2042</c:v>
                </c:pt>
                <c:pt idx="57">
                  <c:v>2057</c:v>
                </c:pt>
                <c:pt idx="58">
                  <c:v>2079.5</c:v>
                </c:pt>
                <c:pt idx="59">
                  <c:v>2102</c:v>
                </c:pt>
                <c:pt idx="60">
                  <c:v>2122</c:v>
                </c:pt>
                <c:pt idx="61">
                  <c:v>2144</c:v>
                </c:pt>
                <c:pt idx="62">
                  <c:v>2153</c:v>
                </c:pt>
                <c:pt idx="63">
                  <c:v>2170</c:v>
                </c:pt>
                <c:pt idx="64">
                  <c:v>2181</c:v>
                </c:pt>
                <c:pt idx="65">
                  <c:v>2194</c:v>
                </c:pt>
                <c:pt idx="66">
                  <c:v>2207</c:v>
                </c:pt>
                <c:pt idx="67">
                  <c:v>2229</c:v>
                </c:pt>
                <c:pt idx="68">
                  <c:v>2243</c:v>
                </c:pt>
                <c:pt idx="69">
                  <c:v>2265</c:v>
                </c:pt>
                <c:pt idx="70">
                  <c:v>2272</c:v>
                </c:pt>
                <c:pt idx="71">
                  <c:v>2272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F-43AA-9FA8-144F40E41836}"/>
            </c:ext>
          </c:extLst>
        </c:ser>
        <c:ser>
          <c:idx val="0"/>
          <c:order val="2"/>
          <c:tx>
            <c:strRef>
              <c:f>'Graph Data'!$J$126</c:f>
              <c:strCache>
                <c:ptCount val="1"/>
                <c:pt idx="0">
                  <c:v>Died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'Graph Data'!$H$127:$H$198</c:f>
              <c:numCache>
                <c:formatCode>m/d/yyyy</c:formatCode>
                <c:ptCount val="72"/>
                <c:pt idx="0">
                  <c:v>43917</c:v>
                </c:pt>
                <c:pt idx="1">
                  <c:v>43918</c:v>
                </c:pt>
                <c:pt idx="2">
                  <c:v>43919</c:v>
                </c:pt>
                <c:pt idx="3">
                  <c:v>43920</c:v>
                </c:pt>
                <c:pt idx="4">
                  <c:v>43921</c:v>
                </c:pt>
                <c:pt idx="5">
                  <c:v>43922</c:v>
                </c:pt>
                <c:pt idx="6">
                  <c:v>43923</c:v>
                </c:pt>
                <c:pt idx="7">
                  <c:v>43924</c:v>
                </c:pt>
                <c:pt idx="8">
                  <c:v>43925</c:v>
                </c:pt>
                <c:pt idx="9">
                  <c:v>43926</c:v>
                </c:pt>
                <c:pt idx="10">
                  <c:v>43927</c:v>
                </c:pt>
                <c:pt idx="11">
                  <c:v>43928</c:v>
                </c:pt>
                <c:pt idx="12">
                  <c:v>43929</c:v>
                </c:pt>
                <c:pt idx="13">
                  <c:v>43930</c:v>
                </c:pt>
                <c:pt idx="14">
                  <c:v>43931</c:v>
                </c:pt>
                <c:pt idx="15">
                  <c:v>43932</c:v>
                </c:pt>
                <c:pt idx="16">
                  <c:v>43933</c:v>
                </c:pt>
                <c:pt idx="17">
                  <c:v>43934</c:v>
                </c:pt>
                <c:pt idx="18">
                  <c:v>43935</c:v>
                </c:pt>
                <c:pt idx="19">
                  <c:v>43936</c:v>
                </c:pt>
                <c:pt idx="20">
                  <c:v>43937</c:v>
                </c:pt>
                <c:pt idx="21">
                  <c:v>43938</c:v>
                </c:pt>
                <c:pt idx="22">
                  <c:v>43939</c:v>
                </c:pt>
                <c:pt idx="23">
                  <c:v>43940</c:v>
                </c:pt>
                <c:pt idx="24">
                  <c:v>43941</c:v>
                </c:pt>
                <c:pt idx="25">
                  <c:v>43942</c:v>
                </c:pt>
                <c:pt idx="26">
                  <c:v>43943</c:v>
                </c:pt>
                <c:pt idx="27">
                  <c:v>43944</c:v>
                </c:pt>
                <c:pt idx="28">
                  <c:v>43945</c:v>
                </c:pt>
                <c:pt idx="29">
                  <c:v>43946</c:v>
                </c:pt>
                <c:pt idx="30">
                  <c:v>43947</c:v>
                </c:pt>
                <c:pt idx="31">
                  <c:v>43948</c:v>
                </c:pt>
                <c:pt idx="32">
                  <c:v>43949</c:v>
                </c:pt>
                <c:pt idx="33">
                  <c:v>43950</c:v>
                </c:pt>
                <c:pt idx="34">
                  <c:v>43951</c:v>
                </c:pt>
                <c:pt idx="35">
                  <c:v>43952</c:v>
                </c:pt>
                <c:pt idx="36">
                  <c:v>43953</c:v>
                </c:pt>
                <c:pt idx="37">
                  <c:v>43954</c:v>
                </c:pt>
                <c:pt idx="38">
                  <c:v>43955</c:v>
                </c:pt>
                <c:pt idx="39">
                  <c:v>43956</c:v>
                </c:pt>
                <c:pt idx="40">
                  <c:v>43957</c:v>
                </c:pt>
                <c:pt idx="41">
                  <c:v>43958</c:v>
                </c:pt>
                <c:pt idx="42">
                  <c:v>43959</c:v>
                </c:pt>
                <c:pt idx="43">
                  <c:v>43960</c:v>
                </c:pt>
                <c:pt idx="44">
                  <c:v>43961</c:v>
                </c:pt>
                <c:pt idx="45">
                  <c:v>43962</c:v>
                </c:pt>
                <c:pt idx="46">
                  <c:v>43963</c:v>
                </c:pt>
                <c:pt idx="47">
                  <c:v>43964</c:v>
                </c:pt>
                <c:pt idx="48">
                  <c:v>43965</c:v>
                </c:pt>
                <c:pt idx="49">
                  <c:v>43966</c:v>
                </c:pt>
                <c:pt idx="50">
                  <c:v>43967</c:v>
                </c:pt>
                <c:pt idx="51">
                  <c:v>43968</c:v>
                </c:pt>
                <c:pt idx="52">
                  <c:v>43969</c:v>
                </c:pt>
                <c:pt idx="53">
                  <c:v>43970</c:v>
                </c:pt>
                <c:pt idx="54">
                  <c:v>43971</c:v>
                </c:pt>
                <c:pt idx="55">
                  <c:v>43972</c:v>
                </c:pt>
                <c:pt idx="56">
                  <c:v>43973</c:v>
                </c:pt>
                <c:pt idx="57">
                  <c:v>43974</c:v>
                </c:pt>
                <c:pt idx="58">
                  <c:v>43975</c:v>
                </c:pt>
                <c:pt idx="59">
                  <c:v>43976</c:v>
                </c:pt>
                <c:pt idx="60">
                  <c:v>43977</c:v>
                </c:pt>
                <c:pt idx="61">
                  <c:v>43978</c:v>
                </c:pt>
                <c:pt idx="62">
                  <c:v>43979</c:v>
                </c:pt>
                <c:pt idx="63">
                  <c:v>43980</c:v>
                </c:pt>
                <c:pt idx="64">
                  <c:v>43981</c:v>
                </c:pt>
                <c:pt idx="65">
                  <c:v>43982</c:v>
                </c:pt>
                <c:pt idx="66">
                  <c:v>43983</c:v>
                </c:pt>
                <c:pt idx="67">
                  <c:v>43984</c:v>
                </c:pt>
                <c:pt idx="68">
                  <c:v>43985</c:v>
                </c:pt>
                <c:pt idx="69">
                  <c:v>43986</c:v>
                </c:pt>
                <c:pt idx="70">
                  <c:v>43987</c:v>
                </c:pt>
                <c:pt idx="71">
                  <c:v>43988</c:v>
                </c:pt>
              </c:numCache>
            </c:numRef>
          </c:cat>
          <c:val>
            <c:numRef>
              <c:f>'Graph Data'!$J$127:$J$198</c:f>
              <c:numCache>
                <c:formatCode>General</c:formatCode>
                <c:ptCount val="72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24</c:v>
                </c:pt>
                <c:pt idx="5">
                  <c:v>25</c:v>
                </c:pt>
                <c:pt idx="6">
                  <c:v>31</c:v>
                </c:pt>
                <c:pt idx="7">
                  <c:v>35</c:v>
                </c:pt>
                <c:pt idx="8">
                  <c:v>38</c:v>
                </c:pt>
                <c:pt idx="9">
                  <c:v>38.5</c:v>
                </c:pt>
                <c:pt idx="10">
                  <c:v>39</c:v>
                </c:pt>
                <c:pt idx="11">
                  <c:v>43</c:v>
                </c:pt>
                <c:pt idx="12">
                  <c:v>48</c:v>
                </c:pt>
                <c:pt idx="13">
                  <c:v>50</c:v>
                </c:pt>
                <c:pt idx="14">
                  <c:v>55</c:v>
                </c:pt>
                <c:pt idx="15">
                  <c:v>58</c:v>
                </c:pt>
                <c:pt idx="16">
                  <c:v>63.5</c:v>
                </c:pt>
                <c:pt idx="17">
                  <c:v>69</c:v>
                </c:pt>
                <c:pt idx="18">
                  <c:v>72</c:v>
                </c:pt>
                <c:pt idx="19">
                  <c:v>75</c:v>
                </c:pt>
                <c:pt idx="20">
                  <c:v>78</c:v>
                </c:pt>
                <c:pt idx="21">
                  <c:v>78</c:v>
                </c:pt>
                <c:pt idx="22">
                  <c:v>81</c:v>
                </c:pt>
                <c:pt idx="23">
                  <c:v>83.5</c:v>
                </c:pt>
                <c:pt idx="24">
                  <c:v>86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98</c:v>
                </c:pt>
                <c:pt idx="29">
                  <c:v>100</c:v>
                </c:pt>
                <c:pt idx="30">
                  <c:v>101.5</c:v>
                </c:pt>
                <c:pt idx="31">
                  <c:v>103</c:v>
                </c:pt>
                <c:pt idx="32">
                  <c:v>105</c:v>
                </c:pt>
                <c:pt idx="33">
                  <c:v>109</c:v>
                </c:pt>
                <c:pt idx="34">
                  <c:v>111</c:v>
                </c:pt>
                <c:pt idx="35">
                  <c:v>111</c:v>
                </c:pt>
                <c:pt idx="36">
                  <c:v>112</c:v>
                </c:pt>
                <c:pt idx="37">
                  <c:v>114.5</c:v>
                </c:pt>
                <c:pt idx="38">
                  <c:v>117</c:v>
                </c:pt>
                <c:pt idx="39">
                  <c:v>121</c:v>
                </c:pt>
                <c:pt idx="40">
                  <c:v>124</c:v>
                </c:pt>
                <c:pt idx="41">
                  <c:v>126</c:v>
                </c:pt>
                <c:pt idx="42">
                  <c:v>127</c:v>
                </c:pt>
                <c:pt idx="43">
                  <c:v>129</c:v>
                </c:pt>
                <c:pt idx="44">
                  <c:v>129.5</c:v>
                </c:pt>
                <c:pt idx="45">
                  <c:v>130</c:v>
                </c:pt>
                <c:pt idx="46">
                  <c:v>131</c:v>
                </c:pt>
                <c:pt idx="47">
                  <c:v>132</c:v>
                </c:pt>
                <c:pt idx="48">
                  <c:v>135</c:v>
                </c:pt>
                <c:pt idx="49">
                  <c:v>140</c:v>
                </c:pt>
                <c:pt idx="50">
                  <c:v>141</c:v>
                </c:pt>
                <c:pt idx="51">
                  <c:v>142</c:v>
                </c:pt>
                <c:pt idx="52">
                  <c:v>143</c:v>
                </c:pt>
                <c:pt idx="53">
                  <c:v>146</c:v>
                </c:pt>
                <c:pt idx="54">
                  <c:v>149</c:v>
                </c:pt>
                <c:pt idx="55">
                  <c:v>152</c:v>
                </c:pt>
                <c:pt idx="56">
                  <c:v>155</c:v>
                </c:pt>
                <c:pt idx="57">
                  <c:v>157</c:v>
                </c:pt>
                <c:pt idx="58">
                  <c:v>159</c:v>
                </c:pt>
                <c:pt idx="59">
                  <c:v>161</c:v>
                </c:pt>
                <c:pt idx="60">
                  <c:v>161</c:v>
                </c:pt>
                <c:pt idx="61">
                  <c:v>162</c:v>
                </c:pt>
                <c:pt idx="62">
                  <c:v>164</c:v>
                </c:pt>
                <c:pt idx="63">
                  <c:v>164</c:v>
                </c:pt>
                <c:pt idx="64">
                  <c:v>164</c:v>
                </c:pt>
                <c:pt idx="65">
                  <c:v>164.5</c:v>
                </c:pt>
                <c:pt idx="66">
                  <c:v>165</c:v>
                </c:pt>
                <c:pt idx="67">
                  <c:v>165</c:v>
                </c:pt>
                <c:pt idx="68">
                  <c:v>166</c:v>
                </c:pt>
                <c:pt idx="69">
                  <c:v>166</c:v>
                </c:pt>
                <c:pt idx="70">
                  <c:v>167</c:v>
                </c:pt>
                <c:pt idx="71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EF-43AA-9FA8-144F40E41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1458408"/>
        <c:axId val="571458080"/>
      </c:barChart>
      <c:lineChart>
        <c:grouping val="standard"/>
        <c:varyColors val="0"/>
        <c:ser>
          <c:idx val="1"/>
          <c:order val="3"/>
          <c:tx>
            <c:strRef>
              <c:f>'Graph Data'!$K$126</c:f>
              <c:strCache>
                <c:ptCount val="1"/>
                <c:pt idx="0">
                  <c:v>Tests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 Data'!$H$127:$H$142</c:f>
              <c:numCache>
                <c:formatCode>m/d/yyyy</c:formatCode>
                <c:ptCount val="16"/>
                <c:pt idx="0">
                  <c:v>43917</c:v>
                </c:pt>
                <c:pt idx="1">
                  <c:v>43918</c:v>
                </c:pt>
                <c:pt idx="2">
                  <c:v>43919</c:v>
                </c:pt>
                <c:pt idx="3">
                  <c:v>43920</c:v>
                </c:pt>
                <c:pt idx="4">
                  <c:v>43921</c:v>
                </c:pt>
                <c:pt idx="5">
                  <c:v>43922</c:v>
                </c:pt>
                <c:pt idx="6">
                  <c:v>43923</c:v>
                </c:pt>
                <c:pt idx="7">
                  <c:v>43924</c:v>
                </c:pt>
                <c:pt idx="8">
                  <c:v>43925</c:v>
                </c:pt>
                <c:pt idx="9">
                  <c:v>43926</c:v>
                </c:pt>
                <c:pt idx="10">
                  <c:v>43927</c:v>
                </c:pt>
                <c:pt idx="11">
                  <c:v>43928</c:v>
                </c:pt>
                <c:pt idx="12">
                  <c:v>43929</c:v>
                </c:pt>
                <c:pt idx="13">
                  <c:v>43930</c:v>
                </c:pt>
                <c:pt idx="14">
                  <c:v>43931</c:v>
                </c:pt>
                <c:pt idx="15">
                  <c:v>43932</c:v>
                </c:pt>
              </c:numCache>
            </c:numRef>
          </c:cat>
          <c:val>
            <c:numRef>
              <c:f>'Graph Data'!$K$127:$K$198</c:f>
              <c:numCache>
                <c:formatCode>General</c:formatCode>
                <c:ptCount val="72"/>
                <c:pt idx="0">
                  <c:v>34561</c:v>
                </c:pt>
                <c:pt idx="1">
                  <c:v>36643</c:v>
                </c:pt>
                <c:pt idx="2">
                  <c:v>39335.5</c:v>
                </c:pt>
                <c:pt idx="3">
                  <c:v>42028</c:v>
                </c:pt>
                <c:pt idx="4">
                  <c:v>42028</c:v>
                </c:pt>
                <c:pt idx="5">
                  <c:v>43229</c:v>
                </c:pt>
                <c:pt idx="6">
                  <c:v>44639</c:v>
                </c:pt>
                <c:pt idx="7">
                  <c:v>47352</c:v>
                </c:pt>
                <c:pt idx="8">
                  <c:v>48508</c:v>
                </c:pt>
                <c:pt idx="9">
                  <c:v>48508</c:v>
                </c:pt>
                <c:pt idx="10">
                  <c:v>48508</c:v>
                </c:pt>
                <c:pt idx="11">
                  <c:v>50350</c:v>
                </c:pt>
                <c:pt idx="12">
                  <c:v>51423</c:v>
                </c:pt>
                <c:pt idx="13">
                  <c:v>52412</c:v>
                </c:pt>
                <c:pt idx="14">
                  <c:v>52412</c:v>
                </c:pt>
                <c:pt idx="15">
                  <c:v>53505</c:v>
                </c:pt>
                <c:pt idx="16">
                  <c:v>54823.5</c:v>
                </c:pt>
                <c:pt idx="17">
                  <c:v>56142</c:v>
                </c:pt>
                <c:pt idx="18">
                  <c:v>56142</c:v>
                </c:pt>
                <c:pt idx="19">
                  <c:v>56262</c:v>
                </c:pt>
                <c:pt idx="20">
                  <c:v>59185</c:v>
                </c:pt>
                <c:pt idx="21">
                  <c:v>59185</c:v>
                </c:pt>
                <c:pt idx="22">
                  <c:v>60668</c:v>
                </c:pt>
                <c:pt idx="23">
                  <c:v>60668</c:v>
                </c:pt>
                <c:pt idx="24">
                  <c:v>60668</c:v>
                </c:pt>
                <c:pt idx="25">
                  <c:v>64375</c:v>
                </c:pt>
                <c:pt idx="26">
                  <c:v>65545</c:v>
                </c:pt>
                <c:pt idx="27">
                  <c:v>66977</c:v>
                </c:pt>
                <c:pt idx="28">
                  <c:v>71415</c:v>
                </c:pt>
                <c:pt idx="29">
                  <c:v>71415</c:v>
                </c:pt>
                <c:pt idx="30">
                  <c:v>75040</c:v>
                </c:pt>
                <c:pt idx="31">
                  <c:v>78665</c:v>
                </c:pt>
                <c:pt idx="32">
                  <c:v>80888</c:v>
                </c:pt>
                <c:pt idx="33">
                  <c:v>83425</c:v>
                </c:pt>
                <c:pt idx="34">
                  <c:v>83425</c:v>
                </c:pt>
                <c:pt idx="35">
                  <c:v>86030</c:v>
                </c:pt>
                <c:pt idx="36">
                  <c:v>88670</c:v>
                </c:pt>
                <c:pt idx="37">
                  <c:v>92593.5</c:v>
                </c:pt>
                <c:pt idx="38">
                  <c:v>96517</c:v>
                </c:pt>
                <c:pt idx="39">
                  <c:v>98199</c:v>
                </c:pt>
                <c:pt idx="40">
                  <c:v>100093</c:v>
                </c:pt>
                <c:pt idx="41">
                  <c:v>102710</c:v>
                </c:pt>
                <c:pt idx="42">
                  <c:v>104994</c:v>
                </c:pt>
                <c:pt idx="43">
                  <c:v>104994</c:v>
                </c:pt>
                <c:pt idx="44">
                  <c:v>108246</c:v>
                </c:pt>
                <c:pt idx="45">
                  <c:v>111498</c:v>
                </c:pt>
                <c:pt idx="46">
                  <c:v>112994</c:v>
                </c:pt>
                <c:pt idx="47">
                  <c:v>114761</c:v>
                </c:pt>
                <c:pt idx="48">
                  <c:v>116764</c:v>
                </c:pt>
                <c:pt idx="49">
                  <c:v>118330</c:v>
                </c:pt>
                <c:pt idx="50">
                  <c:v>118335</c:v>
                </c:pt>
                <c:pt idx="51">
                  <c:v>118335</c:v>
                </c:pt>
                <c:pt idx="52">
                  <c:v>118335</c:v>
                </c:pt>
                <c:pt idx="53">
                  <c:v>118335</c:v>
                </c:pt>
                <c:pt idx="54">
                  <c:v>126236</c:v>
                </c:pt>
                <c:pt idx="55">
                  <c:v>127786</c:v>
                </c:pt>
                <c:pt idx="56">
                  <c:v>127786</c:v>
                </c:pt>
                <c:pt idx="57">
                  <c:v>129942</c:v>
                </c:pt>
                <c:pt idx="58">
                  <c:v>132566</c:v>
                </c:pt>
                <c:pt idx="59">
                  <c:v>135190</c:v>
                </c:pt>
                <c:pt idx="60">
                  <c:v>135190</c:v>
                </c:pt>
                <c:pt idx="61">
                  <c:v>138043</c:v>
                </c:pt>
                <c:pt idx="62">
                  <c:v>140136</c:v>
                </c:pt>
                <c:pt idx="63">
                  <c:v>140136</c:v>
                </c:pt>
                <c:pt idx="64">
                  <c:v>141392</c:v>
                </c:pt>
                <c:pt idx="65">
                  <c:v>141392</c:v>
                </c:pt>
                <c:pt idx="66">
                  <c:v>141392</c:v>
                </c:pt>
                <c:pt idx="67">
                  <c:v>147757</c:v>
                </c:pt>
                <c:pt idx="68">
                  <c:v>149477</c:v>
                </c:pt>
                <c:pt idx="69">
                  <c:v>149477</c:v>
                </c:pt>
                <c:pt idx="70">
                  <c:v>147757</c:v>
                </c:pt>
                <c:pt idx="71">
                  <c:v>153359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EF-43AA-9FA8-144F40E41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1536"/>
        <c:axId val="785511864"/>
      </c:lineChart>
      <c:dateAx>
        <c:axId val="5714584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458080"/>
        <c:crosses val="autoZero"/>
        <c:auto val="1"/>
        <c:lblOffset val="100"/>
        <c:baseTimeUnit val="days"/>
      </c:dateAx>
      <c:valAx>
        <c:axId val="571458080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458408"/>
        <c:crosses val="autoZero"/>
        <c:crossBetween val="between"/>
      </c:valAx>
      <c:valAx>
        <c:axId val="785511864"/>
        <c:scaling>
          <c:orientation val="minMax"/>
          <c:max val="1600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511536"/>
        <c:crosses val="max"/>
        <c:crossBetween val="between"/>
      </c:valAx>
      <c:dateAx>
        <c:axId val="7855115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8551186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Tests Per Million Population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39238845144357"/>
          <c:y val="0.10808000000000001"/>
          <c:w val="0.76064856239560952"/>
          <c:h val="0.70278353363724266"/>
        </c:manualLayout>
      </c:layout>
      <c:lineChart>
        <c:grouping val="standard"/>
        <c:varyColors val="0"/>
        <c:ser>
          <c:idx val="1"/>
          <c:order val="0"/>
          <c:tx>
            <c:strRef>
              <c:f>'Graph Data'!$B$3</c:f>
              <c:strCache>
                <c:ptCount val="1"/>
                <c:pt idx="0">
                  <c:v>Ontario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Data'!$C$2:$BL$2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Data'!$C$3:$BL$3</c:f>
              <c:numCache>
                <c:formatCode>0</c:formatCode>
                <c:ptCount val="62"/>
                <c:pt idx="0">
                  <c:v>2839.5847750865055</c:v>
                </c:pt>
                <c:pt idx="1">
                  <c:v>3265.4671280276816</c:v>
                </c:pt>
                <c:pt idx="2">
                  <c:v>3353.7024221453289</c:v>
                </c:pt>
                <c:pt idx="3">
                  <c:v>3572.9411764705883</c:v>
                </c:pt>
                <c:pt idx="4">
                  <c:v>4005.121107266436</c:v>
                </c:pt>
                <c:pt idx="5">
                  <c:v>4341.3840830449826</c:v>
                </c:pt>
                <c:pt idx="6">
                  <c:v>4619.584775086505</c:v>
                </c:pt>
                <c:pt idx="7">
                  <c:v>4936.8858131487896</c:v>
                </c:pt>
                <c:pt idx="8">
                  <c:v>5453.0103806228381</c:v>
                </c:pt>
                <c:pt idx="9">
                  <c:v>5630.7266435986166</c:v>
                </c:pt>
                <c:pt idx="10">
                  <c:v>5854.7404844290659</c:v>
                </c:pt>
                <c:pt idx="11">
                  <c:v>6138.2698961937722</c:v>
                </c:pt>
                <c:pt idx="12">
                  <c:v>6413.3564013840833</c:v>
                </c:pt>
                <c:pt idx="13">
                  <c:v>6665.8131487889277</c:v>
                </c:pt>
                <c:pt idx="14">
                  <c:v>7489.9653979238756</c:v>
                </c:pt>
                <c:pt idx="15">
                  <c:v>7825.7439446366789</c:v>
                </c:pt>
                <c:pt idx="16">
                  <c:v>8241.6608996539799</c:v>
                </c:pt>
                <c:pt idx="17">
                  <c:v>8864.5674740484428</c:v>
                </c:pt>
                <c:pt idx="18">
                  <c:v>9480.415224913495</c:v>
                </c:pt>
                <c:pt idx="19">
                  <c:v>10141.522491349482</c:v>
                </c:pt>
                <c:pt idx="20">
                  <c:v>11407.612456747405</c:v>
                </c:pt>
                <c:pt idx="21">
                  <c:v>12053.287197231835</c:v>
                </c:pt>
                <c:pt idx="22">
                  <c:v>12770.311418685122</c:v>
                </c:pt>
                <c:pt idx="23">
                  <c:v>13477.162629757786</c:v>
                </c:pt>
                <c:pt idx="24">
                  <c:v>14328.0276816609</c:v>
                </c:pt>
                <c:pt idx="25">
                  <c:v>15060.069204152251</c:v>
                </c:pt>
                <c:pt idx="26">
                  <c:v>16760.415224913497</c:v>
                </c:pt>
                <c:pt idx="27">
                  <c:v>17511.418685121109</c:v>
                </c:pt>
                <c:pt idx="28">
                  <c:v>18311.003460207612</c:v>
                </c:pt>
                <c:pt idx="29">
                  <c:v>19205.674740484432</c:v>
                </c:pt>
                <c:pt idx="30">
                  <c:v>20349.757785467129</c:v>
                </c:pt>
                <c:pt idx="31">
                  <c:v>21478.131487889274</c:v>
                </c:pt>
                <c:pt idx="32">
                  <c:v>23671.9723183391</c:v>
                </c:pt>
                <c:pt idx="33">
                  <c:v>24409.273356401387</c:v>
                </c:pt>
                <c:pt idx="34">
                  <c:v>25306.228373702423</c:v>
                </c:pt>
                <c:pt idx="35">
                  <c:v>26356.678200692044</c:v>
                </c:pt>
                <c:pt idx="36">
                  <c:v>27484.359861591696</c:v>
                </c:pt>
                <c:pt idx="37">
                  <c:v>28814.948096885815</c:v>
                </c:pt>
                <c:pt idx="38">
                  <c:v>31000.968858131488</c:v>
                </c:pt>
                <c:pt idx="39">
                  <c:v>31828.442906574397</c:v>
                </c:pt>
                <c:pt idx="40">
                  <c:v>32875.986159169552</c:v>
                </c:pt>
                <c:pt idx="41">
                  <c:v>34082.145328719722</c:v>
                </c:pt>
                <c:pt idx="42">
                  <c:v>35352.318339100348</c:v>
                </c:pt>
                <c:pt idx="43">
                  <c:v>36581.937716262975</c:v>
                </c:pt>
                <c:pt idx="44">
                  <c:v>38337.785467128029</c:v>
                </c:pt>
                <c:pt idx="45">
                  <c:v>38740.069204152249</c:v>
                </c:pt>
                <c:pt idx="46">
                  <c:v>39250.934256055363</c:v>
                </c:pt>
                <c:pt idx="47">
                  <c:v>39977.993079584776</c:v>
                </c:pt>
                <c:pt idx="48">
                  <c:v>40758.33910034602</c:v>
                </c:pt>
                <c:pt idx="49">
                  <c:v>41521.522491349482</c:v>
                </c:pt>
                <c:pt idx="50">
                  <c:v>42874.671280276816</c:v>
                </c:pt>
                <c:pt idx="51">
                  <c:v>43558.062283737025</c:v>
                </c:pt>
                <c:pt idx="52">
                  <c:v>44605.328719723184</c:v>
                </c:pt>
                <c:pt idx="53">
                  <c:v>44605.328719723184</c:v>
                </c:pt>
                <c:pt idx="54">
                  <c:v>47106.366782006924</c:v>
                </c:pt>
                <c:pt idx="55">
                  <c:v>48534.740484429065</c:v>
                </c:pt>
                <c:pt idx="56">
                  <c:v>50707.266435986159</c:v>
                </c:pt>
                <c:pt idx="57">
                  <c:v>51762.214532871978</c:v>
                </c:pt>
                <c:pt idx="58">
                  <c:v>52975.847750865054</c:v>
                </c:pt>
                <c:pt idx="59">
                  <c:v>54416.816608996545</c:v>
                </c:pt>
                <c:pt idx="60">
                  <c:v>55989.826989619381</c:v>
                </c:pt>
                <c:pt idx="61">
                  <c:v>57588.788927335641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3-46BC-BAF8-A2BA60479365}"/>
            </c:ext>
          </c:extLst>
        </c:ser>
        <c:ser>
          <c:idx val="2"/>
          <c:order val="1"/>
          <c:tx>
            <c:strRef>
              <c:f>'Graph Data'!$B$4</c:f>
              <c:strCache>
                <c:ptCount val="1"/>
                <c:pt idx="0">
                  <c:v>Quebec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Data'!$C$2:$BL$2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Data'!$C$4:$BL$4</c:f>
              <c:numCache>
                <c:formatCode>0</c:formatCode>
                <c:ptCount val="62"/>
                <c:pt idx="0">
                  <c:v>4933.8078291814945</c:v>
                </c:pt>
                <c:pt idx="1">
                  <c:v>6268.564650059312</c:v>
                </c:pt>
                <c:pt idx="2">
                  <c:v>7819.0984578884936</c:v>
                </c:pt>
                <c:pt idx="3">
                  <c:v>8676.2752075919343</c:v>
                </c:pt>
                <c:pt idx="4">
                  <c:v>8951.7200474495858</c:v>
                </c:pt>
                <c:pt idx="5">
                  <c:v>9420.2846975088978</c:v>
                </c:pt>
                <c:pt idx="6">
                  <c:v>10415.421115065243</c:v>
                </c:pt>
                <c:pt idx="7">
                  <c:v>11236.654804270464</c:v>
                </c:pt>
                <c:pt idx="8">
                  <c:v>12224.792408066431</c:v>
                </c:pt>
                <c:pt idx="9">
                  <c:v>12692.52669039146</c:v>
                </c:pt>
                <c:pt idx="10">
                  <c:v>13298.576512455516</c:v>
                </c:pt>
                <c:pt idx="11">
                  <c:v>13836.892052194544</c:v>
                </c:pt>
                <c:pt idx="12">
                  <c:v>14023.368920521945</c:v>
                </c:pt>
                <c:pt idx="13">
                  <c:v>14900.948991696323</c:v>
                </c:pt>
                <c:pt idx="14">
                  <c:v>15921.115065243179</c:v>
                </c:pt>
                <c:pt idx="15">
                  <c:v>16588.967971530248</c:v>
                </c:pt>
                <c:pt idx="16">
                  <c:v>17292.88256227758</c:v>
                </c:pt>
                <c:pt idx="17">
                  <c:v>17972.716488730723</c:v>
                </c:pt>
                <c:pt idx="18">
                  <c:v>18571.411625148281</c:v>
                </c:pt>
                <c:pt idx="19">
                  <c:v>19185.52787663108</c:v>
                </c:pt>
                <c:pt idx="20">
                  <c:v>20257.651245551602</c:v>
                </c:pt>
                <c:pt idx="21">
                  <c:v>20698.695136417558</c:v>
                </c:pt>
                <c:pt idx="22">
                  <c:v>21457.532621589562</c:v>
                </c:pt>
                <c:pt idx="23">
                  <c:v>21807.829181494664</c:v>
                </c:pt>
                <c:pt idx="24">
                  <c:v>21807.829181494664</c:v>
                </c:pt>
                <c:pt idx="25">
                  <c:v>22629.300118623963</c:v>
                </c:pt>
                <c:pt idx="26">
                  <c:v>24080.901542111507</c:v>
                </c:pt>
                <c:pt idx="27">
                  <c:v>24080.901542111507</c:v>
                </c:pt>
                <c:pt idx="28">
                  <c:v>25121.708185053383</c:v>
                </c:pt>
                <c:pt idx="29">
                  <c:v>25513.285883748518</c:v>
                </c:pt>
                <c:pt idx="30">
                  <c:v>26147.212336892055</c:v>
                </c:pt>
                <c:pt idx="31">
                  <c:v>26147.212336892055</c:v>
                </c:pt>
                <c:pt idx="32">
                  <c:v>27951.245551601423</c:v>
                </c:pt>
                <c:pt idx="33">
                  <c:v>27951.245551601423</c:v>
                </c:pt>
                <c:pt idx="34">
                  <c:v>27951.245551601423</c:v>
                </c:pt>
                <c:pt idx="35">
                  <c:v>27951.245551601423</c:v>
                </c:pt>
                <c:pt idx="36">
                  <c:v>31566.903914590748</c:v>
                </c:pt>
                <c:pt idx="37">
                  <c:v>33377.224199288255</c:v>
                </c:pt>
                <c:pt idx="38">
                  <c:v>33377.224199288255</c:v>
                </c:pt>
                <c:pt idx="39">
                  <c:v>33377.224199288255</c:v>
                </c:pt>
                <c:pt idx="40">
                  <c:v>35976.512455516015</c:v>
                </c:pt>
                <c:pt idx="41">
                  <c:v>35974.139976275212</c:v>
                </c:pt>
                <c:pt idx="42">
                  <c:v>35976.512455516015</c:v>
                </c:pt>
                <c:pt idx="43">
                  <c:v>38878.29181494662</c:v>
                </c:pt>
                <c:pt idx="44">
                  <c:v>39906.524317912219</c:v>
                </c:pt>
                <c:pt idx="45">
                  <c:v>39906.524317912219</c:v>
                </c:pt>
                <c:pt idx="46">
                  <c:v>41462.752075919336</c:v>
                </c:pt>
                <c:pt idx="47">
                  <c:v>44049.940688018978</c:v>
                </c:pt>
                <c:pt idx="48">
                  <c:v>44049.940688018978</c:v>
                </c:pt>
                <c:pt idx="49">
                  <c:v>46338.315539739029</c:v>
                </c:pt>
                <c:pt idx="50">
                  <c:v>46338.315539739029</c:v>
                </c:pt>
                <c:pt idx="51">
                  <c:v>47875.68208778173</c:v>
                </c:pt>
                <c:pt idx="52">
                  <c:v>47875.68208778173</c:v>
                </c:pt>
                <c:pt idx="53">
                  <c:v>48088.374851720051</c:v>
                </c:pt>
                <c:pt idx="54">
                  <c:v>49731.198102016606</c:v>
                </c:pt>
                <c:pt idx="55">
                  <c:v>51594.306049822066</c:v>
                </c:pt>
                <c:pt idx="56">
                  <c:v>53211.862396204036</c:v>
                </c:pt>
                <c:pt idx="57">
                  <c:v>54333.807829181496</c:v>
                </c:pt>
                <c:pt idx="58">
                  <c:v>55478.05456702254</c:v>
                </c:pt>
                <c:pt idx="59">
                  <c:v>56954.211150652431</c:v>
                </c:pt>
                <c:pt idx="60">
                  <c:v>58067.259786476869</c:v>
                </c:pt>
                <c:pt idx="61">
                  <c:v>58683.511269276394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E3-46BC-BAF8-A2BA60479365}"/>
            </c:ext>
          </c:extLst>
        </c:ser>
        <c:ser>
          <c:idx val="3"/>
          <c:order val="2"/>
          <c:tx>
            <c:strRef>
              <c:f>'Graph Data'!$B$5</c:f>
              <c:strCache>
                <c:ptCount val="1"/>
                <c:pt idx="0">
                  <c:v>BC</c:v>
                </c:pt>
              </c:strCache>
            </c:strRef>
          </c:tx>
          <c:spPr>
            <a:ln w="444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Data'!$C$2:$BL$2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Data'!$C$5:$BL$5</c:f>
              <c:numCache>
                <c:formatCode>0</c:formatCode>
                <c:ptCount val="62"/>
                <c:pt idx="0">
                  <c:v>6884.6613545816735</c:v>
                </c:pt>
                <c:pt idx="1">
                  <c:v>7299.4023904382475</c:v>
                </c:pt>
                <c:pt idx="2">
                  <c:v>8372.1115537848618</c:v>
                </c:pt>
                <c:pt idx="3">
                  <c:v>8372.1115537848618</c:v>
                </c:pt>
                <c:pt idx="4">
                  <c:v>8611.3545816733076</c:v>
                </c:pt>
                <c:pt idx="5">
                  <c:v>8892.2310756972111</c:v>
                </c:pt>
                <c:pt idx="6">
                  <c:v>9432.6693227091637</c:v>
                </c:pt>
                <c:pt idx="7">
                  <c:v>9662.9482071713155</c:v>
                </c:pt>
                <c:pt idx="8">
                  <c:v>9662.9482071713155</c:v>
                </c:pt>
                <c:pt idx="9">
                  <c:v>10029.880478087651</c:v>
                </c:pt>
                <c:pt idx="10">
                  <c:v>10243.625498007968</c:v>
                </c:pt>
                <c:pt idx="11">
                  <c:v>10440.637450199205</c:v>
                </c:pt>
                <c:pt idx="12">
                  <c:v>10440.637450199205</c:v>
                </c:pt>
                <c:pt idx="13">
                  <c:v>10658.366533864542</c:v>
                </c:pt>
                <c:pt idx="14">
                  <c:v>11183.66533864542</c:v>
                </c:pt>
                <c:pt idx="15">
                  <c:v>11183.66533864542</c:v>
                </c:pt>
                <c:pt idx="16">
                  <c:v>11207.569721115538</c:v>
                </c:pt>
                <c:pt idx="17">
                  <c:v>11789.840637450201</c:v>
                </c:pt>
                <c:pt idx="18">
                  <c:v>11789.840637450201</c:v>
                </c:pt>
                <c:pt idx="19">
                  <c:v>12085.258964143428</c:v>
                </c:pt>
                <c:pt idx="20">
                  <c:v>12085.258964143428</c:v>
                </c:pt>
                <c:pt idx="21">
                  <c:v>12823.70517928287</c:v>
                </c:pt>
                <c:pt idx="22">
                  <c:v>13056.772908366534</c:v>
                </c:pt>
                <c:pt idx="23">
                  <c:v>13342.031872509961</c:v>
                </c:pt>
                <c:pt idx="24">
                  <c:v>14226.095617529882</c:v>
                </c:pt>
                <c:pt idx="25">
                  <c:v>14226.095617529882</c:v>
                </c:pt>
                <c:pt idx="26">
                  <c:v>15670.318725099603</c:v>
                </c:pt>
                <c:pt idx="27">
                  <c:v>16113.147410358568</c:v>
                </c:pt>
                <c:pt idx="28">
                  <c:v>16618.525896414343</c:v>
                </c:pt>
                <c:pt idx="29">
                  <c:v>16618.525896414343</c:v>
                </c:pt>
                <c:pt idx="30">
                  <c:v>17137.450199203187</c:v>
                </c:pt>
                <c:pt idx="31">
                  <c:v>17663.346613545818</c:v>
                </c:pt>
                <c:pt idx="32">
                  <c:v>19226.494023904383</c:v>
                </c:pt>
                <c:pt idx="33">
                  <c:v>19561.55378486056</c:v>
                </c:pt>
                <c:pt idx="34">
                  <c:v>19938.844621513945</c:v>
                </c:pt>
                <c:pt idx="35">
                  <c:v>20460.159362549803</c:v>
                </c:pt>
                <c:pt idx="36">
                  <c:v>20915.139442231077</c:v>
                </c:pt>
                <c:pt idx="37">
                  <c:v>20915.139442231077</c:v>
                </c:pt>
                <c:pt idx="38">
                  <c:v>22210.756972111554</c:v>
                </c:pt>
                <c:pt idx="39">
                  <c:v>22508.764940239045</c:v>
                </c:pt>
                <c:pt idx="40">
                  <c:v>22860.756972111554</c:v>
                </c:pt>
                <c:pt idx="41">
                  <c:v>23259.760956175302</c:v>
                </c:pt>
                <c:pt idx="42">
                  <c:v>23571.713147410359</c:v>
                </c:pt>
                <c:pt idx="43">
                  <c:v>23572.709163346615</c:v>
                </c:pt>
                <c:pt idx="44">
                  <c:v>23572.709163346615</c:v>
                </c:pt>
                <c:pt idx="45">
                  <c:v>23572.709163346615</c:v>
                </c:pt>
                <c:pt idx="46">
                  <c:v>25146.613545816734</c:v>
                </c:pt>
                <c:pt idx="47">
                  <c:v>25455.378486055779</c:v>
                </c:pt>
                <c:pt idx="48">
                  <c:v>25455.378486055779</c:v>
                </c:pt>
                <c:pt idx="49">
                  <c:v>25884.860557768927</c:v>
                </c:pt>
                <c:pt idx="50">
                  <c:v>26930.278884462154</c:v>
                </c:pt>
                <c:pt idx="51">
                  <c:v>26930.278884462154</c:v>
                </c:pt>
                <c:pt idx="52">
                  <c:v>27498.605577689246</c:v>
                </c:pt>
                <c:pt idx="53">
                  <c:v>27915.537848605582</c:v>
                </c:pt>
                <c:pt idx="54">
                  <c:v>27915.537848605582</c:v>
                </c:pt>
                <c:pt idx="55">
                  <c:v>28165.737051792832</c:v>
                </c:pt>
                <c:pt idx="56">
                  <c:v>28165.737051792832</c:v>
                </c:pt>
                <c:pt idx="57">
                  <c:v>29433.66533864542</c:v>
                </c:pt>
                <c:pt idx="58">
                  <c:v>29776.294820717136</c:v>
                </c:pt>
                <c:pt idx="59">
                  <c:v>29776.294820717136</c:v>
                </c:pt>
                <c:pt idx="60">
                  <c:v>29433.66533864542</c:v>
                </c:pt>
                <c:pt idx="61">
                  <c:v>30549.601593625499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E3-46BC-BAF8-A2BA60479365}"/>
            </c:ext>
          </c:extLst>
        </c:ser>
        <c:ser>
          <c:idx val="4"/>
          <c:order val="3"/>
          <c:tx>
            <c:strRef>
              <c:f>'Graph Data'!$B$6</c:f>
              <c:strCache>
                <c:ptCount val="1"/>
                <c:pt idx="0">
                  <c:v>Alberta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Data'!$C$2:$BL$2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Data'!$C$6:$BL$6</c:f>
              <c:numCache>
                <c:formatCode>0</c:formatCode>
                <c:ptCount val="62"/>
                <c:pt idx="0">
                  <c:v>8459.9078341013828</c:v>
                </c:pt>
                <c:pt idx="1">
                  <c:v>9941.9354838709678</c:v>
                </c:pt>
                <c:pt idx="2">
                  <c:v>10368.433179723503</c:v>
                </c:pt>
                <c:pt idx="3">
                  <c:v>11219.354838709678</c:v>
                </c:pt>
                <c:pt idx="4">
                  <c:v>12244.47004608295</c:v>
                </c:pt>
                <c:pt idx="5">
                  <c:v>13155.760368663596</c:v>
                </c:pt>
                <c:pt idx="6">
                  <c:v>13155.760368663596</c:v>
                </c:pt>
                <c:pt idx="7">
                  <c:v>14771.428571428572</c:v>
                </c:pt>
                <c:pt idx="8">
                  <c:v>14932.258064516129</c:v>
                </c:pt>
                <c:pt idx="9">
                  <c:v>15464.746543778803</c:v>
                </c:pt>
                <c:pt idx="10">
                  <c:v>15843.778801843318</c:v>
                </c:pt>
                <c:pt idx="11">
                  <c:v>16185.94470046083</c:v>
                </c:pt>
                <c:pt idx="12">
                  <c:v>16185.94470046083</c:v>
                </c:pt>
                <c:pt idx="13">
                  <c:v>16185.94470046083</c:v>
                </c:pt>
                <c:pt idx="14">
                  <c:v>18382.718894009216</c:v>
                </c:pt>
                <c:pt idx="15">
                  <c:v>19043.548387096776</c:v>
                </c:pt>
                <c:pt idx="16">
                  <c:v>19700.921658986175</c:v>
                </c:pt>
                <c:pt idx="17">
                  <c:v>19700.921658986175</c:v>
                </c:pt>
                <c:pt idx="18">
                  <c:v>21383.640552995392</c:v>
                </c:pt>
                <c:pt idx="19">
                  <c:v>22326.497695852537</c:v>
                </c:pt>
                <c:pt idx="20">
                  <c:v>24266.589861751152</c:v>
                </c:pt>
                <c:pt idx="21">
                  <c:v>25118.663594470047</c:v>
                </c:pt>
                <c:pt idx="22">
                  <c:v>26151.843317972351</c:v>
                </c:pt>
                <c:pt idx="23">
                  <c:v>26151.843317972351</c:v>
                </c:pt>
                <c:pt idx="24">
                  <c:v>28213.594470046082</c:v>
                </c:pt>
                <c:pt idx="25">
                  <c:v>29300.691244239631</c:v>
                </c:pt>
                <c:pt idx="26">
                  <c:v>31207.83410138249</c:v>
                </c:pt>
                <c:pt idx="27">
                  <c:v>31954.147465437789</c:v>
                </c:pt>
                <c:pt idx="28">
                  <c:v>33153.456221198161</c:v>
                </c:pt>
                <c:pt idx="29">
                  <c:v>34317.281105990784</c:v>
                </c:pt>
                <c:pt idx="30">
                  <c:v>35429.953917050691</c:v>
                </c:pt>
                <c:pt idx="31">
                  <c:v>36294.239631336408</c:v>
                </c:pt>
                <c:pt idx="32">
                  <c:v>37965.898617511521</c:v>
                </c:pt>
                <c:pt idx="33">
                  <c:v>38482.718894009216</c:v>
                </c:pt>
                <c:pt idx="34">
                  <c:v>39287.788018433181</c:v>
                </c:pt>
                <c:pt idx="35">
                  <c:v>40167.511520737331</c:v>
                </c:pt>
                <c:pt idx="36">
                  <c:v>40912.211981566819</c:v>
                </c:pt>
                <c:pt idx="37">
                  <c:v>41729.72350230415</c:v>
                </c:pt>
                <c:pt idx="38">
                  <c:v>43354.147465437789</c:v>
                </c:pt>
                <c:pt idx="39">
                  <c:v>44085.253456221202</c:v>
                </c:pt>
                <c:pt idx="40">
                  <c:v>45023.502304147463</c:v>
                </c:pt>
                <c:pt idx="41">
                  <c:v>46133.179723502304</c:v>
                </c:pt>
                <c:pt idx="42">
                  <c:v>47171.198156682032</c:v>
                </c:pt>
                <c:pt idx="43">
                  <c:v>48229.72350230415</c:v>
                </c:pt>
                <c:pt idx="44">
                  <c:v>49893.087557603685</c:v>
                </c:pt>
                <c:pt idx="45">
                  <c:v>50452.534562211986</c:v>
                </c:pt>
                <c:pt idx="46">
                  <c:v>51053.225806451614</c:v>
                </c:pt>
                <c:pt idx="47">
                  <c:v>51978.801843317975</c:v>
                </c:pt>
                <c:pt idx="48">
                  <c:v>52717.281105990784</c:v>
                </c:pt>
                <c:pt idx="49">
                  <c:v>53634.562211981567</c:v>
                </c:pt>
                <c:pt idx="50">
                  <c:v>55253.225806451614</c:v>
                </c:pt>
                <c:pt idx="51">
                  <c:v>55940.322580645166</c:v>
                </c:pt>
                <c:pt idx="52">
                  <c:v>56670.276497695857</c:v>
                </c:pt>
                <c:pt idx="53">
                  <c:v>56670.276497695857</c:v>
                </c:pt>
                <c:pt idx="54">
                  <c:v>58400.691244239635</c:v>
                </c:pt>
                <c:pt idx="55">
                  <c:v>59268.894009216594</c:v>
                </c:pt>
                <c:pt idx="56">
                  <c:v>60616.129032258068</c:v>
                </c:pt>
                <c:pt idx="57">
                  <c:v>61359.677419354841</c:v>
                </c:pt>
                <c:pt idx="58">
                  <c:v>62511.059907834104</c:v>
                </c:pt>
                <c:pt idx="59">
                  <c:v>63484.792626728115</c:v>
                </c:pt>
                <c:pt idx="60">
                  <c:v>64972.119815668208</c:v>
                </c:pt>
                <c:pt idx="61">
                  <c:v>64972.119815668208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5E3-46BC-BAF8-A2BA60479365}"/>
            </c:ext>
          </c:extLst>
        </c:ser>
        <c:ser>
          <c:idx val="5"/>
          <c:order val="4"/>
          <c:tx>
            <c:strRef>
              <c:f>'Graph Data'!$B$7</c:f>
              <c:strCache>
                <c:ptCount val="1"/>
                <c:pt idx="0">
                  <c:v>Manitoba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Data'!$C$2:$BL$2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Data'!$C$7:$BL$7</c:f>
              <c:numCache>
                <c:formatCode>0</c:formatCode>
                <c:ptCount val="62"/>
                <c:pt idx="0">
                  <c:v>4561.0294117647054</c:v>
                </c:pt>
                <c:pt idx="1">
                  <c:v>4561.0294117647054</c:v>
                </c:pt>
                <c:pt idx="2">
                  <c:v>6286.7647058823522</c:v>
                </c:pt>
                <c:pt idx="3">
                  <c:v>6286.7647058823522</c:v>
                </c:pt>
                <c:pt idx="4">
                  <c:v>7385.2941176470586</c:v>
                </c:pt>
                <c:pt idx="5">
                  <c:v>8328.6764705882342</c:v>
                </c:pt>
                <c:pt idx="6">
                  <c:v>8788.2352941176468</c:v>
                </c:pt>
                <c:pt idx="7">
                  <c:v>9201.4705882352937</c:v>
                </c:pt>
                <c:pt idx="8">
                  <c:v>9557.3529411764703</c:v>
                </c:pt>
                <c:pt idx="9">
                  <c:v>10500</c:v>
                </c:pt>
                <c:pt idx="10">
                  <c:v>10814.705882352941</c:v>
                </c:pt>
                <c:pt idx="11">
                  <c:v>11219.85294117647</c:v>
                </c:pt>
                <c:pt idx="12">
                  <c:v>11926.470588235294</c:v>
                </c:pt>
                <c:pt idx="13">
                  <c:v>12046.323529411764</c:v>
                </c:pt>
                <c:pt idx="14">
                  <c:v>12680.147058823528</c:v>
                </c:pt>
                <c:pt idx="15">
                  <c:v>13021.323529411764</c:v>
                </c:pt>
                <c:pt idx="16">
                  <c:v>13163.235294117647</c:v>
                </c:pt>
                <c:pt idx="17">
                  <c:v>13491.911764705881</c:v>
                </c:pt>
                <c:pt idx="18">
                  <c:v>13864.705882352941</c:v>
                </c:pt>
                <c:pt idx="19">
                  <c:v>14112.499999999998</c:v>
                </c:pt>
                <c:pt idx="20">
                  <c:v>14714.705882352941</c:v>
                </c:pt>
                <c:pt idx="21">
                  <c:v>14940.441176470587</c:v>
                </c:pt>
                <c:pt idx="22">
                  <c:v>15883.088235294117</c:v>
                </c:pt>
                <c:pt idx="23">
                  <c:v>15725.735294117645</c:v>
                </c:pt>
                <c:pt idx="24">
                  <c:v>16302.941176470587</c:v>
                </c:pt>
                <c:pt idx="25">
                  <c:v>16616.176470588234</c:v>
                </c:pt>
                <c:pt idx="26">
                  <c:v>17311.029411764706</c:v>
                </c:pt>
                <c:pt idx="27">
                  <c:v>17311.029411764706</c:v>
                </c:pt>
                <c:pt idx="28">
                  <c:v>17933.088235294115</c:v>
                </c:pt>
                <c:pt idx="29">
                  <c:v>18252.941176470587</c:v>
                </c:pt>
                <c:pt idx="30">
                  <c:v>18751.470588235294</c:v>
                </c:pt>
                <c:pt idx="31">
                  <c:v>19241.911764705881</c:v>
                </c:pt>
                <c:pt idx="32">
                  <c:v>20180.882352941175</c:v>
                </c:pt>
                <c:pt idx="33">
                  <c:v>20422.794117647056</c:v>
                </c:pt>
                <c:pt idx="34">
                  <c:v>20804.411764705881</c:v>
                </c:pt>
                <c:pt idx="35">
                  <c:v>21183.823529411762</c:v>
                </c:pt>
                <c:pt idx="36">
                  <c:v>21575.735294117647</c:v>
                </c:pt>
                <c:pt idx="37">
                  <c:v>22069.117647058822</c:v>
                </c:pt>
                <c:pt idx="38">
                  <c:v>22815.441176470587</c:v>
                </c:pt>
                <c:pt idx="39">
                  <c:v>23117.647058823528</c:v>
                </c:pt>
                <c:pt idx="40">
                  <c:v>23489.705882352941</c:v>
                </c:pt>
                <c:pt idx="41">
                  <c:v>23708.823529411762</c:v>
                </c:pt>
                <c:pt idx="42">
                  <c:v>24297.794117647056</c:v>
                </c:pt>
                <c:pt idx="43">
                  <c:v>24965.441176470587</c:v>
                </c:pt>
                <c:pt idx="44">
                  <c:v>25882.352941176468</c:v>
                </c:pt>
                <c:pt idx="45">
                  <c:v>26160.294117647056</c:v>
                </c:pt>
                <c:pt idx="46">
                  <c:v>26338.235294117647</c:v>
                </c:pt>
                <c:pt idx="47">
                  <c:v>26766.176470588234</c:v>
                </c:pt>
                <c:pt idx="48">
                  <c:v>27405.882352941175</c:v>
                </c:pt>
                <c:pt idx="49">
                  <c:v>27845.588235294115</c:v>
                </c:pt>
                <c:pt idx="50">
                  <c:v>28648.529411764703</c:v>
                </c:pt>
                <c:pt idx="51">
                  <c:v>28912.499999999996</c:v>
                </c:pt>
                <c:pt idx="52">
                  <c:v>29754.411764705881</c:v>
                </c:pt>
                <c:pt idx="53">
                  <c:v>30287.499999999996</c:v>
                </c:pt>
                <c:pt idx="54">
                  <c:v>31107.352941176468</c:v>
                </c:pt>
                <c:pt idx="55">
                  <c:v>31623.529411764703</c:v>
                </c:pt>
                <c:pt idx="56">
                  <c:v>32861.76470588235</c:v>
                </c:pt>
                <c:pt idx="57">
                  <c:v>33161.029411764706</c:v>
                </c:pt>
                <c:pt idx="58">
                  <c:v>33677.941176470587</c:v>
                </c:pt>
                <c:pt idx="59">
                  <c:v>34338.970588235294</c:v>
                </c:pt>
                <c:pt idx="60">
                  <c:v>34832.352941176468</c:v>
                </c:pt>
                <c:pt idx="61">
                  <c:v>34832.352941176468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E3-46BC-BAF8-A2BA60479365}"/>
            </c:ext>
          </c:extLst>
        </c:ser>
        <c:ser>
          <c:idx val="6"/>
          <c:order val="5"/>
          <c:tx>
            <c:strRef>
              <c:f>'Graph Data'!$B$8</c:f>
              <c:strCache>
                <c:ptCount val="1"/>
                <c:pt idx="0">
                  <c:v>Sask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Data'!$C$2:$BL$2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Data'!$C$8:$BL$8</c:f>
              <c:numCache>
                <c:formatCode>0</c:formatCode>
                <c:ptCount val="62"/>
                <c:pt idx="0">
                  <c:v>6478.6324786324794</c:v>
                </c:pt>
                <c:pt idx="1">
                  <c:v>6478.6324786324794</c:v>
                </c:pt>
                <c:pt idx="2">
                  <c:v>8248.7179487179492</c:v>
                </c:pt>
                <c:pt idx="3">
                  <c:v>8770.0854700854707</c:v>
                </c:pt>
                <c:pt idx="4">
                  <c:v>8998.2905982905995</c:v>
                </c:pt>
                <c:pt idx="5">
                  <c:v>9739.3162393162402</c:v>
                </c:pt>
                <c:pt idx="6">
                  <c:v>10352.136752136752</c:v>
                </c:pt>
                <c:pt idx="7">
                  <c:v>10829.05982905983</c:v>
                </c:pt>
                <c:pt idx="8">
                  <c:v>12117.948717948719</c:v>
                </c:pt>
                <c:pt idx="9">
                  <c:v>12625.641025641027</c:v>
                </c:pt>
                <c:pt idx="10">
                  <c:v>13351.282051282053</c:v>
                </c:pt>
                <c:pt idx="11">
                  <c:v>13725.641025641027</c:v>
                </c:pt>
                <c:pt idx="12">
                  <c:v>15071.794871794873</c:v>
                </c:pt>
                <c:pt idx="13">
                  <c:v>15767.521367521369</c:v>
                </c:pt>
                <c:pt idx="14">
                  <c:v>16755.555555555558</c:v>
                </c:pt>
                <c:pt idx="15">
                  <c:v>17335.042735042734</c:v>
                </c:pt>
                <c:pt idx="16">
                  <c:v>17869.23076923077</c:v>
                </c:pt>
                <c:pt idx="17">
                  <c:v>18435.042735042734</c:v>
                </c:pt>
                <c:pt idx="18">
                  <c:v>18980.341880341883</c:v>
                </c:pt>
                <c:pt idx="19">
                  <c:v>19736.752136752137</c:v>
                </c:pt>
                <c:pt idx="20">
                  <c:v>20864.957264957266</c:v>
                </c:pt>
                <c:pt idx="21">
                  <c:v>21205.982905982906</c:v>
                </c:pt>
                <c:pt idx="22">
                  <c:v>21641.880341880344</c:v>
                </c:pt>
                <c:pt idx="23">
                  <c:v>22112.820512820515</c:v>
                </c:pt>
                <c:pt idx="24">
                  <c:v>21868.37606837607</c:v>
                </c:pt>
                <c:pt idx="25">
                  <c:v>23275.213675213676</c:v>
                </c:pt>
                <c:pt idx="26">
                  <c:v>24184.615384615387</c:v>
                </c:pt>
                <c:pt idx="27">
                  <c:v>24471.794871794875</c:v>
                </c:pt>
                <c:pt idx="28">
                  <c:v>24876.923076923078</c:v>
                </c:pt>
                <c:pt idx="29">
                  <c:v>25335.042735042738</c:v>
                </c:pt>
                <c:pt idx="30">
                  <c:v>25946.153846153848</c:v>
                </c:pt>
                <c:pt idx="31">
                  <c:v>26363.247863247863</c:v>
                </c:pt>
                <c:pt idx="32">
                  <c:v>27635.897435897437</c:v>
                </c:pt>
                <c:pt idx="33">
                  <c:v>28137.60683760684</c:v>
                </c:pt>
                <c:pt idx="34">
                  <c:v>28710.256410256414</c:v>
                </c:pt>
                <c:pt idx="35">
                  <c:v>29368.37606837607</c:v>
                </c:pt>
                <c:pt idx="36">
                  <c:v>30064.957264957266</c:v>
                </c:pt>
                <c:pt idx="37">
                  <c:v>30869.23076923077</c:v>
                </c:pt>
                <c:pt idx="38">
                  <c:v>31999.145299145301</c:v>
                </c:pt>
                <c:pt idx="39">
                  <c:v>32217.948717948719</c:v>
                </c:pt>
                <c:pt idx="40">
                  <c:v>32612.820512820515</c:v>
                </c:pt>
                <c:pt idx="41">
                  <c:v>33100.854700854703</c:v>
                </c:pt>
                <c:pt idx="42">
                  <c:v>33100.854700854703</c:v>
                </c:pt>
                <c:pt idx="43">
                  <c:v>34270.940170940172</c:v>
                </c:pt>
                <c:pt idx="44">
                  <c:v>34270.940170940172</c:v>
                </c:pt>
                <c:pt idx="45">
                  <c:v>35560.683760683765</c:v>
                </c:pt>
                <c:pt idx="46">
                  <c:v>35855.555555555555</c:v>
                </c:pt>
                <c:pt idx="47">
                  <c:v>36276.068376068375</c:v>
                </c:pt>
                <c:pt idx="48">
                  <c:v>36617.948717948719</c:v>
                </c:pt>
                <c:pt idx="49">
                  <c:v>37110.256410256414</c:v>
                </c:pt>
                <c:pt idx="50">
                  <c:v>37873.504273504273</c:v>
                </c:pt>
                <c:pt idx="51">
                  <c:v>38102.564102564102</c:v>
                </c:pt>
                <c:pt idx="52">
                  <c:v>38562.393162393164</c:v>
                </c:pt>
                <c:pt idx="53">
                  <c:v>39204.273504273508</c:v>
                </c:pt>
                <c:pt idx="54">
                  <c:v>39704.273504273508</c:v>
                </c:pt>
                <c:pt idx="55">
                  <c:v>40268.37606837607</c:v>
                </c:pt>
                <c:pt idx="56">
                  <c:v>41258.119658119664</c:v>
                </c:pt>
                <c:pt idx="57">
                  <c:v>41532.478632478633</c:v>
                </c:pt>
                <c:pt idx="58">
                  <c:v>41993.162393162398</c:v>
                </c:pt>
                <c:pt idx="59">
                  <c:v>41993.162393162398</c:v>
                </c:pt>
                <c:pt idx="60">
                  <c:v>41993.162393162398</c:v>
                </c:pt>
                <c:pt idx="61">
                  <c:v>41993.162393162398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5E3-46BC-BAF8-A2BA60479365}"/>
            </c:ext>
          </c:extLst>
        </c:ser>
        <c:ser>
          <c:idx val="9"/>
          <c:order val="6"/>
          <c:tx>
            <c:strRef>
              <c:f>'Graph Data'!$B$9</c:f>
              <c:strCache>
                <c:ptCount val="1"/>
                <c:pt idx="0">
                  <c:v>Maritimes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Data'!$C$2:$BL$2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Data'!$C$9:$BL$9</c:f>
              <c:numCache>
                <c:formatCode>0</c:formatCode>
                <c:ptCount val="62"/>
                <c:pt idx="0">
                  <c:v>3230.037017451084</c:v>
                </c:pt>
                <c:pt idx="1">
                  <c:v>3491.274457958752</c:v>
                </c:pt>
                <c:pt idx="2">
                  <c:v>4851.93019566367</c:v>
                </c:pt>
                <c:pt idx="3">
                  <c:v>5278.688524590164</c:v>
                </c:pt>
                <c:pt idx="4">
                  <c:v>6151.2427287149658</c:v>
                </c:pt>
                <c:pt idx="5">
                  <c:v>6936.5415124272868</c:v>
                </c:pt>
                <c:pt idx="6">
                  <c:v>7639.3442622950815</c:v>
                </c:pt>
                <c:pt idx="7">
                  <c:v>8340.5605499735593</c:v>
                </c:pt>
                <c:pt idx="8">
                  <c:v>9298.2548915917505</c:v>
                </c:pt>
                <c:pt idx="9">
                  <c:v>9796.4040190375454</c:v>
                </c:pt>
                <c:pt idx="10">
                  <c:v>10427.815970386038</c:v>
                </c:pt>
                <c:pt idx="11">
                  <c:v>11163.405605499736</c:v>
                </c:pt>
                <c:pt idx="12">
                  <c:v>11545.74299312533</c:v>
                </c:pt>
                <c:pt idx="13">
                  <c:v>11961.924907456372</c:v>
                </c:pt>
                <c:pt idx="14">
                  <c:v>13585.933368588048</c:v>
                </c:pt>
                <c:pt idx="15">
                  <c:v>14639.873083024855</c:v>
                </c:pt>
                <c:pt idx="16">
                  <c:v>15255.420412480169</c:v>
                </c:pt>
                <c:pt idx="17">
                  <c:v>16031.200423056584</c:v>
                </c:pt>
                <c:pt idx="18">
                  <c:v>17069.804336329984</c:v>
                </c:pt>
                <c:pt idx="19">
                  <c:v>17755.156002115284</c:v>
                </c:pt>
                <c:pt idx="20">
                  <c:v>18949.233209941831</c:v>
                </c:pt>
                <c:pt idx="21">
                  <c:v>19367.001586462189</c:v>
                </c:pt>
                <c:pt idx="22">
                  <c:v>19995.769434161819</c:v>
                </c:pt>
                <c:pt idx="23">
                  <c:v>20684.822845055525</c:v>
                </c:pt>
                <c:pt idx="24">
                  <c:v>21114.754098360656</c:v>
                </c:pt>
                <c:pt idx="25">
                  <c:v>21462.71813855103</c:v>
                </c:pt>
                <c:pt idx="26">
                  <c:v>22803.278688524591</c:v>
                </c:pt>
                <c:pt idx="27">
                  <c:v>23166.0497091486</c:v>
                </c:pt>
                <c:pt idx="28">
                  <c:v>23782.125859333686</c:v>
                </c:pt>
                <c:pt idx="29">
                  <c:v>24224.219989423586</c:v>
                </c:pt>
                <c:pt idx="30">
                  <c:v>25139.608672659968</c:v>
                </c:pt>
                <c:pt idx="31">
                  <c:v>25675.304071919618</c:v>
                </c:pt>
                <c:pt idx="32">
                  <c:v>26620.835536753042</c:v>
                </c:pt>
                <c:pt idx="33">
                  <c:v>27032.258064516129</c:v>
                </c:pt>
                <c:pt idx="34">
                  <c:v>27708.090957165521</c:v>
                </c:pt>
                <c:pt idx="35">
                  <c:v>28313.590692755155</c:v>
                </c:pt>
                <c:pt idx="36">
                  <c:v>28920.148069804338</c:v>
                </c:pt>
                <c:pt idx="37">
                  <c:v>29319.407720782656</c:v>
                </c:pt>
                <c:pt idx="38">
                  <c:v>30147.012162876785</c:v>
                </c:pt>
                <c:pt idx="39">
                  <c:v>30492.332099418298</c:v>
                </c:pt>
                <c:pt idx="40">
                  <c:v>31105.235325224749</c:v>
                </c:pt>
                <c:pt idx="41">
                  <c:v>31555.261766261236</c:v>
                </c:pt>
                <c:pt idx="42">
                  <c:v>32108.937070333155</c:v>
                </c:pt>
                <c:pt idx="43">
                  <c:v>32452.670544685352</c:v>
                </c:pt>
                <c:pt idx="44">
                  <c:v>33038.07509254363</c:v>
                </c:pt>
                <c:pt idx="45">
                  <c:v>33198.836594394503</c:v>
                </c:pt>
                <c:pt idx="46">
                  <c:v>33533.051295610785</c:v>
                </c:pt>
                <c:pt idx="47">
                  <c:v>33947.117927022737</c:v>
                </c:pt>
                <c:pt idx="48">
                  <c:v>34268.112109994712</c:v>
                </c:pt>
                <c:pt idx="49">
                  <c:v>34976.731887890004</c:v>
                </c:pt>
                <c:pt idx="50">
                  <c:v>35702.27392913802</c:v>
                </c:pt>
                <c:pt idx="51">
                  <c:v>35841.353781068217</c:v>
                </c:pt>
                <c:pt idx="52">
                  <c:v>36830.777366472765</c:v>
                </c:pt>
                <c:pt idx="53">
                  <c:v>37634.056054997352</c:v>
                </c:pt>
                <c:pt idx="54">
                  <c:v>38309.888947646745</c:v>
                </c:pt>
                <c:pt idx="55">
                  <c:v>38931.782125859332</c:v>
                </c:pt>
                <c:pt idx="56">
                  <c:v>41568.482284505553</c:v>
                </c:pt>
                <c:pt idx="57">
                  <c:v>43020.095187731356</c:v>
                </c:pt>
                <c:pt idx="58">
                  <c:v>43959.80962453728</c:v>
                </c:pt>
                <c:pt idx="59">
                  <c:v>44619.777895293497</c:v>
                </c:pt>
                <c:pt idx="60">
                  <c:v>45353.252247488104</c:v>
                </c:pt>
                <c:pt idx="61">
                  <c:v>45680.592279217344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5E3-46BC-BAF8-A2BA60479365}"/>
            </c:ext>
          </c:extLst>
        </c:ser>
        <c:ser>
          <c:idx val="10"/>
          <c:order val="7"/>
          <c:tx>
            <c:strRef>
              <c:f>'Graph Data'!$B$10</c:f>
              <c:strCache>
                <c:ptCount val="1"/>
                <c:pt idx="0">
                  <c:v>NFLD</c:v>
                </c:pt>
              </c:strCache>
            </c:strRef>
          </c:tx>
          <c:spPr>
            <a:ln w="381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Data'!$C$2:$BL$2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Data'!$C$10:$BL$10</c:f>
              <c:numCache>
                <c:formatCode>0</c:formatCode>
                <c:ptCount val="62"/>
                <c:pt idx="0">
                  <c:v>3213.740458015267</c:v>
                </c:pt>
                <c:pt idx="1">
                  <c:v>3213.740458015267</c:v>
                </c:pt>
                <c:pt idx="2">
                  <c:v>4450.3816793893129</c:v>
                </c:pt>
                <c:pt idx="3">
                  <c:v>4914.1221374045799</c:v>
                </c:pt>
                <c:pt idx="4">
                  <c:v>4914.1221374045799</c:v>
                </c:pt>
                <c:pt idx="5">
                  <c:v>5589.6946564885493</c:v>
                </c:pt>
                <c:pt idx="6">
                  <c:v>6108.7786259541981</c:v>
                </c:pt>
                <c:pt idx="7">
                  <c:v>6461.8320610687024</c:v>
                </c:pt>
                <c:pt idx="8">
                  <c:v>7206.1068702290077</c:v>
                </c:pt>
                <c:pt idx="9">
                  <c:v>7206.1068702290077</c:v>
                </c:pt>
                <c:pt idx="10">
                  <c:v>7917.93893129771</c:v>
                </c:pt>
                <c:pt idx="11">
                  <c:v>8377.8625954198469</c:v>
                </c:pt>
                <c:pt idx="12">
                  <c:v>8377.8625954198469</c:v>
                </c:pt>
                <c:pt idx="13">
                  <c:v>9019.0839694656479</c:v>
                </c:pt>
                <c:pt idx="14">
                  <c:v>9019.0839694656479</c:v>
                </c:pt>
                <c:pt idx="15">
                  <c:v>9582.061068702289</c:v>
                </c:pt>
                <c:pt idx="16">
                  <c:v>9858.7786259541972</c:v>
                </c:pt>
                <c:pt idx="17">
                  <c:v>10248.091603053435</c:v>
                </c:pt>
                <c:pt idx="18">
                  <c:v>10658.396946564884</c:v>
                </c:pt>
                <c:pt idx="19">
                  <c:v>11204.198473282442</c:v>
                </c:pt>
                <c:pt idx="20">
                  <c:v>11925.572519083969</c:v>
                </c:pt>
                <c:pt idx="21">
                  <c:v>12272.900763358779</c:v>
                </c:pt>
                <c:pt idx="22">
                  <c:v>12713.740458015267</c:v>
                </c:pt>
                <c:pt idx="23">
                  <c:v>13171.755725190838</c:v>
                </c:pt>
                <c:pt idx="24">
                  <c:v>13614.503816793893</c:v>
                </c:pt>
                <c:pt idx="25">
                  <c:v>13992.36641221374</c:v>
                </c:pt>
                <c:pt idx="26">
                  <c:v>14545.801526717556</c:v>
                </c:pt>
                <c:pt idx="27">
                  <c:v>15181.297709923663</c:v>
                </c:pt>
                <c:pt idx="28">
                  <c:v>15181.297709923663</c:v>
                </c:pt>
                <c:pt idx="29">
                  <c:v>15984.732824427479</c:v>
                </c:pt>
                <c:pt idx="30">
                  <c:v>16320.6106870229</c:v>
                </c:pt>
                <c:pt idx="31">
                  <c:v>16633.587786259541</c:v>
                </c:pt>
                <c:pt idx="32">
                  <c:v>17101.145038167939</c:v>
                </c:pt>
                <c:pt idx="33">
                  <c:v>17440.839694656486</c:v>
                </c:pt>
                <c:pt idx="34">
                  <c:v>17740.458015267173</c:v>
                </c:pt>
                <c:pt idx="35">
                  <c:v>18049.618320610687</c:v>
                </c:pt>
                <c:pt idx="36">
                  <c:v>18305.343511450381</c:v>
                </c:pt>
                <c:pt idx="37">
                  <c:v>18511.450381679388</c:v>
                </c:pt>
                <c:pt idx="38">
                  <c:v>18893.129770992367</c:v>
                </c:pt>
                <c:pt idx="39">
                  <c:v>19183.206106870228</c:v>
                </c:pt>
                <c:pt idx="40">
                  <c:v>19374.045801526718</c:v>
                </c:pt>
                <c:pt idx="41">
                  <c:v>19608.778625954197</c:v>
                </c:pt>
                <c:pt idx="42">
                  <c:v>19744.274809160306</c:v>
                </c:pt>
                <c:pt idx="43">
                  <c:v>20085.877862595418</c:v>
                </c:pt>
                <c:pt idx="44">
                  <c:v>20374.045801526718</c:v>
                </c:pt>
                <c:pt idx="45">
                  <c:v>20509.541984732823</c:v>
                </c:pt>
                <c:pt idx="46">
                  <c:v>20688.931297709922</c:v>
                </c:pt>
                <c:pt idx="47">
                  <c:v>20959.923664122136</c:v>
                </c:pt>
                <c:pt idx="48">
                  <c:v>21192.748091603051</c:v>
                </c:pt>
                <c:pt idx="49">
                  <c:v>21198.473282442748</c:v>
                </c:pt>
                <c:pt idx="50">
                  <c:v>21654.580152671755</c:v>
                </c:pt>
                <c:pt idx="51">
                  <c:v>21937.022900763357</c:v>
                </c:pt>
                <c:pt idx="52">
                  <c:v>22169.847328244276</c:v>
                </c:pt>
                <c:pt idx="53">
                  <c:v>22471.374045801527</c:v>
                </c:pt>
                <c:pt idx="54">
                  <c:v>22723.282442748092</c:v>
                </c:pt>
                <c:pt idx="55">
                  <c:v>23082.061068702289</c:v>
                </c:pt>
                <c:pt idx="56">
                  <c:v>23383.587786259541</c:v>
                </c:pt>
                <c:pt idx="57">
                  <c:v>23746.183206106871</c:v>
                </c:pt>
                <c:pt idx="58">
                  <c:v>24082.061068702289</c:v>
                </c:pt>
                <c:pt idx="59">
                  <c:v>24463.740458015265</c:v>
                </c:pt>
                <c:pt idx="60">
                  <c:v>24717.557251908394</c:v>
                </c:pt>
                <c:pt idx="61">
                  <c:v>25232.824427480915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5E3-46BC-BAF8-A2BA60479365}"/>
            </c:ext>
          </c:extLst>
        </c:ser>
        <c:ser>
          <c:idx val="11"/>
          <c:order val="8"/>
          <c:tx>
            <c:strRef>
              <c:f>'Graph Data'!$B$11</c:f>
              <c:strCache>
                <c:ptCount val="1"/>
                <c:pt idx="0">
                  <c:v>Canada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Data'!$C$2:$BL$2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Data'!$C$11:$BL$11</c:f>
              <c:numCache>
                <c:formatCode>0</c:formatCode>
                <c:ptCount val="62"/>
                <c:pt idx="0">
                  <c:v>4666.9148936170213</c:v>
                </c:pt>
                <c:pt idx="1">
                  <c:v>5369.4148936170213</c:v>
                </c:pt>
                <c:pt idx="2">
                  <c:v>6146.5691489361698</c:v>
                </c:pt>
                <c:pt idx="3">
                  <c:v>6565.3723404255315</c:v>
                </c:pt>
                <c:pt idx="4">
                  <c:v>7034.2021276595742</c:v>
                </c:pt>
                <c:pt idx="5">
                  <c:v>7517.260638297872</c:v>
                </c:pt>
                <c:pt idx="6">
                  <c:v>7997.7127659574462</c:v>
                </c:pt>
                <c:pt idx="7">
                  <c:v>8590.9840425531911</c:v>
                </c:pt>
                <c:pt idx="8">
                  <c:v>9140.9574468085102</c:v>
                </c:pt>
                <c:pt idx="9">
                  <c:v>9499.521276595744</c:v>
                </c:pt>
                <c:pt idx="10">
                  <c:v>9869.4148936170204</c:v>
                </c:pt>
                <c:pt idx="11">
                  <c:v>10234.574468085106</c:v>
                </c:pt>
                <c:pt idx="12">
                  <c:v>10468.776595744681</c:v>
                </c:pt>
                <c:pt idx="13">
                  <c:v>10847.473404255319</c:v>
                </c:pt>
                <c:pt idx="14">
                  <c:v>11851.968085106382</c:v>
                </c:pt>
                <c:pt idx="15">
                  <c:v>12298.244680851063</c:v>
                </c:pt>
                <c:pt idx="16">
                  <c:v>12751.54255319149</c:v>
                </c:pt>
                <c:pt idx="17">
                  <c:v>13295.026595744681</c:v>
                </c:pt>
                <c:pt idx="18">
                  <c:v>13948.563829787234</c:v>
                </c:pt>
                <c:pt idx="19">
                  <c:v>14563.16489361702</c:v>
                </c:pt>
                <c:pt idx="20">
                  <c:v>15641.037234042553</c:v>
                </c:pt>
                <c:pt idx="21">
                  <c:v>16229.627659574468</c:v>
                </c:pt>
                <c:pt idx="22">
                  <c:v>16911.117021276594</c:v>
                </c:pt>
                <c:pt idx="23">
                  <c:v>17349.388297872341</c:v>
                </c:pt>
                <c:pt idx="24">
                  <c:v>18073.457446808508</c:v>
                </c:pt>
                <c:pt idx="25">
                  <c:v>18742.313829787232</c:v>
                </c:pt>
                <c:pt idx="26">
                  <c:v>20262.739361702126</c:v>
                </c:pt>
                <c:pt idx="27">
                  <c:v>20732.659574468085</c:v>
                </c:pt>
                <c:pt idx="28">
                  <c:v>21545.292553191488</c:v>
                </c:pt>
                <c:pt idx="29">
                  <c:v>22170.505319148935</c:v>
                </c:pt>
                <c:pt idx="30">
                  <c:v>23037.792553191488</c:v>
                </c:pt>
                <c:pt idx="31">
                  <c:v>23703.430851063829</c:v>
                </c:pt>
                <c:pt idx="32">
                  <c:v>25480.292553191488</c:v>
                </c:pt>
                <c:pt idx="33">
                  <c:v>25917.819148936171</c:v>
                </c:pt>
                <c:pt idx="34">
                  <c:v>26475.611702127659</c:v>
                </c:pt>
                <c:pt idx="35">
                  <c:v>27119.41489361702</c:v>
                </c:pt>
                <c:pt idx="36">
                  <c:v>28580.053191489362</c:v>
                </c:pt>
                <c:pt idx="37">
                  <c:v>29657.473404255317</c:v>
                </c:pt>
                <c:pt idx="38">
                  <c:v>30967.154255319147</c:v>
                </c:pt>
                <c:pt idx="39">
                  <c:v>31448.484042553191</c:v>
                </c:pt>
                <c:pt idx="40">
                  <c:v>32648.351063829785</c:v>
                </c:pt>
                <c:pt idx="41">
                  <c:v>33341.728723404252</c:v>
                </c:pt>
                <c:pt idx="42">
                  <c:v>34042.898936170212</c:v>
                </c:pt>
                <c:pt idx="43">
                  <c:v>35370.957446808512</c:v>
                </c:pt>
                <c:pt idx="44">
                  <c:v>36534.893617021276</c:v>
                </c:pt>
                <c:pt idx="45">
                  <c:v>36814.228723404252</c:v>
                </c:pt>
                <c:pt idx="46">
                  <c:v>37673.856382978724</c:v>
                </c:pt>
                <c:pt idx="47">
                  <c:v>38734.547872340423</c:v>
                </c:pt>
                <c:pt idx="48">
                  <c:v>39172.845744680846</c:v>
                </c:pt>
                <c:pt idx="49">
                  <c:v>40209.361702127659</c:v>
                </c:pt>
                <c:pt idx="50">
                  <c:v>41151.436170212764</c:v>
                </c:pt>
                <c:pt idx="51">
                  <c:v>41865.664893617017</c:v>
                </c:pt>
                <c:pt idx="52">
                  <c:v>42526.037234042553</c:v>
                </c:pt>
                <c:pt idx="53">
                  <c:v>42713.244680851065</c:v>
                </c:pt>
                <c:pt idx="54">
                  <c:v>44325.186170212764</c:v>
                </c:pt>
                <c:pt idx="55">
                  <c:v>45497.95212765957</c:v>
                </c:pt>
                <c:pt idx="56">
                  <c:v>47063.430851063829</c:v>
                </c:pt>
                <c:pt idx="57">
                  <c:v>48072.925531914894</c:v>
                </c:pt>
                <c:pt idx="58">
                  <c:v>49059.494680851065</c:v>
                </c:pt>
                <c:pt idx="59">
                  <c:v>50119.042553191488</c:v>
                </c:pt>
                <c:pt idx="60">
                  <c:v>51157.313829787236</c:v>
                </c:pt>
                <c:pt idx="61">
                  <c:v>52082.606382978724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5E3-46BC-BAF8-A2BA60479365}"/>
            </c:ext>
          </c:extLst>
        </c:ser>
        <c:ser>
          <c:idx val="0"/>
          <c:order val="9"/>
          <c:tx>
            <c:strRef>
              <c:f>'Graph Data'!$B$12</c:f>
              <c:strCache>
                <c:ptCount val="1"/>
                <c:pt idx="0">
                  <c:v>USA</c:v>
                </c:pt>
              </c:strCache>
            </c:strRef>
          </c:tx>
          <c:spPr>
            <a:ln w="38100" cap="rnd">
              <a:solidFill>
                <a:schemeClr val="accent6">
                  <a:lumMod val="5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Data'!$C$2:$BL$2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Data'!$C$12:$BL$12</c:f>
              <c:numCache>
                <c:formatCode>0</c:formatCode>
                <c:ptCount val="62"/>
                <c:pt idx="0">
                  <c:v>1916.4006116207952</c:v>
                </c:pt>
                <c:pt idx="1">
                  <c:v>2249.8593272171252</c:v>
                </c:pt>
                <c:pt idx="2">
                  <c:v>2889.4617737003059</c:v>
                </c:pt>
                <c:pt idx="3">
                  <c:v>3207.8623853211011</c:v>
                </c:pt>
                <c:pt idx="4">
                  <c:v>3516.6972477064219</c:v>
                </c:pt>
                <c:pt idx="5">
                  <c:v>3876.6299694189602</c:v>
                </c:pt>
                <c:pt idx="6">
                  <c:v>4354.4770642201838</c:v>
                </c:pt>
                <c:pt idx="7">
                  <c:v>5055.660550458716</c:v>
                </c:pt>
                <c:pt idx="8">
                  <c:v>5886.9847094801225</c:v>
                </c:pt>
                <c:pt idx="9">
                  <c:v>6339.8195718654433</c:v>
                </c:pt>
                <c:pt idx="10">
                  <c:v>6766.6207951070337</c:v>
                </c:pt>
                <c:pt idx="11">
                  <c:v>7263.6422018348621</c:v>
                </c:pt>
                <c:pt idx="12">
                  <c:v>7705.327217125382</c:v>
                </c:pt>
                <c:pt idx="13">
                  <c:v>8152.9724770642206</c:v>
                </c:pt>
                <c:pt idx="14">
                  <c:v>8975.5535168195711</c:v>
                </c:pt>
                <c:pt idx="15">
                  <c:v>9423.9143730886844</c:v>
                </c:pt>
                <c:pt idx="16">
                  <c:v>9916.6819571865435</c:v>
                </c:pt>
                <c:pt idx="17">
                  <c:v>10400.80733944954</c:v>
                </c:pt>
                <c:pt idx="18">
                  <c:v>10879.183486238531</c:v>
                </c:pt>
                <c:pt idx="19">
                  <c:v>11310.501529051988</c:v>
                </c:pt>
                <c:pt idx="20">
                  <c:v>12243.275229357798</c:v>
                </c:pt>
                <c:pt idx="21">
                  <c:v>12706.96636085627</c:v>
                </c:pt>
                <c:pt idx="22">
                  <c:v>13659.201834862386</c:v>
                </c:pt>
                <c:pt idx="23">
                  <c:v>14251.529051987767</c:v>
                </c:pt>
                <c:pt idx="24">
                  <c:v>14935.174311926605</c:v>
                </c:pt>
                <c:pt idx="25">
                  <c:v>15855.152905198776</c:v>
                </c:pt>
                <c:pt idx="26">
                  <c:v>17105.489296636086</c:v>
                </c:pt>
                <c:pt idx="27">
                  <c:v>17723.93883792049</c:v>
                </c:pt>
                <c:pt idx="28">
                  <c:v>18481.085626911314</c:v>
                </c:pt>
                <c:pt idx="29">
                  <c:v>19012.461773700306</c:v>
                </c:pt>
                <c:pt idx="30">
                  <c:v>20095.972477064221</c:v>
                </c:pt>
                <c:pt idx="31">
                  <c:v>21066</c:v>
                </c:pt>
                <c:pt idx="32">
                  <c:v>22624.305810397553</c:v>
                </c:pt>
                <c:pt idx="33">
                  <c:v>23310.626911314987</c:v>
                </c:pt>
                <c:pt idx="34">
                  <c:v>24263.831804281344</c:v>
                </c:pt>
                <c:pt idx="35">
                  <c:v>23885.700305810398</c:v>
                </c:pt>
                <c:pt idx="36">
                  <c:v>26112.409785932723</c:v>
                </c:pt>
                <c:pt idx="37">
                  <c:v>26212.12232415902</c:v>
                </c:pt>
                <c:pt idx="38">
                  <c:v>29566.544342507645</c:v>
                </c:pt>
                <c:pt idx="39">
                  <c:v>30124.825688073393</c:v>
                </c:pt>
                <c:pt idx="40">
                  <c:v>31191.685015290521</c:v>
                </c:pt>
                <c:pt idx="41">
                  <c:v>32160.785932721712</c:v>
                </c:pt>
                <c:pt idx="42">
                  <c:v>33343.571865443424</c:v>
                </c:pt>
                <c:pt idx="43">
                  <c:v>35932.067278287461</c:v>
                </c:pt>
                <c:pt idx="44">
                  <c:v>36893.45259938838</c:v>
                </c:pt>
                <c:pt idx="45">
                  <c:v>38433.847094801225</c:v>
                </c:pt>
                <c:pt idx="46">
                  <c:v>39230.241590214064</c:v>
                </c:pt>
                <c:pt idx="47">
                  <c:v>40320.932721712539</c:v>
                </c:pt>
                <c:pt idx="48">
                  <c:v>42006.370030581042</c:v>
                </c:pt>
                <c:pt idx="49">
                  <c:v>43529.954128440368</c:v>
                </c:pt>
                <c:pt idx="50">
                  <c:v>46116.948012232417</c:v>
                </c:pt>
                <c:pt idx="51">
                  <c:v>47075.373088685017</c:v>
                </c:pt>
                <c:pt idx="52">
                  <c:v>48216.403669724772</c:v>
                </c:pt>
                <c:pt idx="53">
                  <c:v>49588.926605504588</c:v>
                </c:pt>
                <c:pt idx="54">
                  <c:v>50491.675840978591</c:v>
                </c:pt>
                <c:pt idx="55">
                  <c:v>52258.238532110088</c:v>
                </c:pt>
                <c:pt idx="56">
                  <c:v>54930.321100917434</c:v>
                </c:pt>
                <c:pt idx="57">
                  <c:v>56268.244648318039</c:v>
                </c:pt>
                <c:pt idx="58">
                  <c:v>57807.929663608564</c:v>
                </c:pt>
                <c:pt idx="59">
                  <c:v>59438.012232415902</c:v>
                </c:pt>
                <c:pt idx="60">
                  <c:v>61631.229357798162</c:v>
                </c:pt>
                <c:pt idx="61">
                  <c:v>62999.412844036699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9-4106-B3A1-ECB89E5FCFF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7080640"/>
        <c:axId val="157079000"/>
      </c:lineChart>
      <c:dateAx>
        <c:axId val="157080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79000"/>
        <c:crosses val="autoZero"/>
        <c:auto val="1"/>
        <c:lblOffset val="100"/>
        <c:baseTimeUnit val="days"/>
      </c:dateAx>
      <c:valAx>
        <c:axId val="15707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Official Cases Per</a:t>
            </a:r>
            <a:r>
              <a:rPr lang="en-CA" baseline="0"/>
              <a:t> Million Population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'Graph Data'!$B$15</c:f>
              <c:strCache>
                <c:ptCount val="1"/>
                <c:pt idx="0">
                  <c:v>Ontario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 Data'!$C$14:$BL$14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Data'!$C$15:$BL$15</c:f>
              <c:numCache>
                <c:formatCode>0</c:formatCode>
                <c:ptCount val="62"/>
                <c:pt idx="0">
                  <c:v>68.719723183391011</c:v>
                </c:pt>
                <c:pt idx="1">
                  <c:v>93.771626297577853</c:v>
                </c:pt>
                <c:pt idx="2">
                  <c:v>118.06228373702423</c:v>
                </c:pt>
                <c:pt idx="3">
                  <c:v>136.05536332179932</c:v>
                </c:pt>
                <c:pt idx="4">
                  <c:v>165.53633217993081</c:v>
                </c:pt>
                <c:pt idx="5">
                  <c:v>193.28719723183391</c:v>
                </c:pt>
                <c:pt idx="6">
                  <c:v>225.25951557093427</c:v>
                </c:pt>
                <c:pt idx="7">
                  <c:v>251.21107266435988</c:v>
                </c:pt>
                <c:pt idx="8">
                  <c:v>300.83044982698965</c:v>
                </c:pt>
                <c:pt idx="9">
                  <c:v>327.05882352941177</c:v>
                </c:pt>
                <c:pt idx="10">
                  <c:v>365.12110726643601</c:v>
                </c:pt>
                <c:pt idx="11">
                  <c:v>398.54671280276818</c:v>
                </c:pt>
                <c:pt idx="12">
                  <c:v>431.6262975778547</c:v>
                </c:pt>
                <c:pt idx="13">
                  <c:v>460.06920415224914</c:v>
                </c:pt>
                <c:pt idx="14">
                  <c:v>516.95501730103808</c:v>
                </c:pt>
                <c:pt idx="15">
                  <c:v>550.38062283737031</c:v>
                </c:pt>
                <c:pt idx="16">
                  <c:v>586.64359861591697</c:v>
                </c:pt>
                <c:pt idx="17">
                  <c:v>620.13840830449828</c:v>
                </c:pt>
                <c:pt idx="18">
                  <c:v>659.16955017301041</c:v>
                </c:pt>
                <c:pt idx="19">
                  <c:v>692.73356401384092</c:v>
                </c:pt>
                <c:pt idx="20">
                  <c:v>773.97923875432525</c:v>
                </c:pt>
                <c:pt idx="21">
                  <c:v>812.1107266435987</c:v>
                </c:pt>
                <c:pt idx="22">
                  <c:v>847.40484429065748</c:v>
                </c:pt>
                <c:pt idx="23">
                  <c:v>891.28027681660899</c:v>
                </c:pt>
                <c:pt idx="24">
                  <c:v>935.57093425605547</c:v>
                </c:pt>
                <c:pt idx="25">
                  <c:v>968.51211072664364</c:v>
                </c:pt>
                <c:pt idx="26">
                  <c:v>1028.0968858131489</c:v>
                </c:pt>
                <c:pt idx="27">
                  <c:v>1064.4290657439446</c:v>
                </c:pt>
                <c:pt idx="28">
                  <c:v>1088.4429065743946</c:v>
                </c:pt>
                <c:pt idx="29">
                  <c:v>1120.2076124567475</c:v>
                </c:pt>
                <c:pt idx="30">
                  <c:v>1149.3425605536333</c:v>
                </c:pt>
                <c:pt idx="31">
                  <c:v>1184.7058823529412</c:v>
                </c:pt>
                <c:pt idx="32">
                  <c:v>1240.3460207612457</c:v>
                </c:pt>
                <c:pt idx="33">
                  <c:v>1267.128027681661</c:v>
                </c:pt>
                <c:pt idx="34">
                  <c:v>1295.6401384083047</c:v>
                </c:pt>
                <c:pt idx="35">
                  <c:v>1323.2525951557095</c:v>
                </c:pt>
                <c:pt idx="36">
                  <c:v>1356.2629757785469</c:v>
                </c:pt>
                <c:pt idx="37">
                  <c:v>1380.2076124567475</c:v>
                </c:pt>
                <c:pt idx="38">
                  <c:v>1421.8685121107267</c:v>
                </c:pt>
                <c:pt idx="39">
                  <c:v>1446.8512110726645</c:v>
                </c:pt>
                <c:pt idx="40">
                  <c:v>1469.6193771626299</c:v>
                </c:pt>
                <c:pt idx="41">
                  <c:v>1487.4740484429067</c:v>
                </c:pt>
                <c:pt idx="42">
                  <c:v>1517.0934256055364</c:v>
                </c:pt>
                <c:pt idx="43">
                  <c:v>1544.1522491349481</c:v>
                </c:pt>
                <c:pt idx="44">
                  <c:v>1588.7197231833911</c:v>
                </c:pt>
                <c:pt idx="45">
                  <c:v>1618.2698961937717</c:v>
                </c:pt>
                <c:pt idx="46">
                  <c:v>1645.2595155709344</c:v>
                </c:pt>
                <c:pt idx="47">
                  <c:v>1673.8408304498271</c:v>
                </c:pt>
                <c:pt idx="48">
                  <c:v>1704.3598615916956</c:v>
                </c:pt>
                <c:pt idx="49">
                  <c:v>1732.8719723183392</c:v>
                </c:pt>
                <c:pt idx="50">
                  <c:v>1792.6643598615917</c:v>
                </c:pt>
                <c:pt idx="51">
                  <c:v>1812.5259515570935</c:v>
                </c:pt>
                <c:pt idx="52">
                  <c:v>1832.733564013841</c:v>
                </c:pt>
                <c:pt idx="53">
                  <c:v>1859.2387543252596</c:v>
                </c:pt>
                <c:pt idx="54">
                  <c:v>1883.044982698962</c:v>
                </c:pt>
                <c:pt idx="55">
                  <c:v>1905.3979238754325</c:v>
                </c:pt>
                <c:pt idx="56">
                  <c:v>1955.9169550173012</c:v>
                </c:pt>
                <c:pt idx="57">
                  <c:v>1986.7820069204154</c:v>
                </c:pt>
                <c:pt idx="58">
                  <c:v>2010.1730103806228</c:v>
                </c:pt>
                <c:pt idx="59">
                  <c:v>2034.809688581315</c:v>
                </c:pt>
                <c:pt idx="60">
                  <c:v>2058.6159169550174</c:v>
                </c:pt>
                <c:pt idx="61">
                  <c:v>2090.1038062283737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5-4325-BEC9-ADA5E000BAED}"/>
            </c:ext>
          </c:extLst>
        </c:ser>
        <c:ser>
          <c:idx val="2"/>
          <c:order val="1"/>
          <c:tx>
            <c:strRef>
              <c:f>'Graph Data'!$B$16</c:f>
              <c:strCache>
                <c:ptCount val="1"/>
                <c:pt idx="0">
                  <c:v>Quebec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 Data'!$C$14:$BL$14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Data'!$C$16:$BL$16</c:f>
              <c:numCache>
                <c:formatCode>0</c:formatCode>
                <c:ptCount val="62"/>
                <c:pt idx="0">
                  <c:v>239.73902728351129</c:v>
                </c:pt>
                <c:pt idx="1">
                  <c:v>296.32265717674971</c:v>
                </c:pt>
                <c:pt idx="2">
                  <c:v>406.8801897983393</c:v>
                </c:pt>
                <c:pt idx="3">
                  <c:v>493.7129300118624</c:v>
                </c:pt>
                <c:pt idx="4">
                  <c:v>546.9750889679716</c:v>
                </c:pt>
                <c:pt idx="5">
                  <c:v>654.56702253855281</c:v>
                </c:pt>
                <c:pt idx="6">
                  <c:v>723.72479240806649</c:v>
                </c:pt>
                <c:pt idx="7">
                  <c:v>830.01186239620404</c:v>
                </c:pt>
                <c:pt idx="8">
                  <c:v>1017.7935943060498</c:v>
                </c:pt>
                <c:pt idx="9">
                  <c:v>1107.9478054567023</c:v>
                </c:pt>
                <c:pt idx="10">
                  <c:v>1189.9169632265719</c:v>
                </c:pt>
                <c:pt idx="11">
                  <c:v>1294.4246737841045</c:v>
                </c:pt>
                <c:pt idx="12">
                  <c:v>1385.1720047449585</c:v>
                </c:pt>
                <c:pt idx="13">
                  <c:v>1458.1257413997628</c:v>
                </c:pt>
                <c:pt idx="14">
                  <c:v>1608.1850533807831</c:v>
                </c:pt>
                <c:pt idx="15">
                  <c:v>1690.1542111506526</c:v>
                </c:pt>
                <c:pt idx="16">
                  <c:v>1762.7520759193358</c:v>
                </c:pt>
                <c:pt idx="17">
                  <c:v>1881.020166073547</c:v>
                </c:pt>
                <c:pt idx="18">
                  <c:v>1991.5776986951364</c:v>
                </c:pt>
                <c:pt idx="19">
                  <c:v>2078.4104389086597</c:v>
                </c:pt>
                <c:pt idx="20">
                  <c:v>2291.696322657177</c:v>
                </c:pt>
                <c:pt idx="21">
                  <c:v>2387.4258600237249</c:v>
                </c:pt>
                <c:pt idx="22">
                  <c:v>2486.9513641755634</c:v>
                </c:pt>
                <c:pt idx="23">
                  <c:v>2590.5100830367737</c:v>
                </c:pt>
                <c:pt idx="24">
                  <c:v>2682.7995255041519</c:v>
                </c:pt>
                <c:pt idx="25">
                  <c:v>2760.0237247924083</c:v>
                </c:pt>
                <c:pt idx="26">
                  <c:v>2963.463819691578</c:v>
                </c:pt>
                <c:pt idx="27">
                  <c:v>3055.3973902728353</c:v>
                </c:pt>
                <c:pt idx="28">
                  <c:v>3154.6856465005931</c:v>
                </c:pt>
                <c:pt idx="29">
                  <c:v>3266.666666666667</c:v>
                </c:pt>
                <c:pt idx="30">
                  <c:v>3398.3392645314357</c:v>
                </c:pt>
                <c:pt idx="31">
                  <c:v>3517.9122182680903</c:v>
                </c:pt>
                <c:pt idx="32">
                  <c:v>3869.8695136417559</c:v>
                </c:pt>
                <c:pt idx="33">
                  <c:v>3964.0569395017797</c:v>
                </c:pt>
                <c:pt idx="34">
                  <c:v>4072.0047449584818</c:v>
                </c:pt>
                <c:pt idx="35">
                  <c:v>4180.0711743772245</c:v>
                </c:pt>
                <c:pt idx="36">
                  <c:v>4288.2562277580073</c:v>
                </c:pt>
                <c:pt idx="37">
                  <c:v>4387.4258600237254</c:v>
                </c:pt>
                <c:pt idx="38">
                  <c:v>4563.3451957295374</c:v>
                </c:pt>
                <c:pt idx="39">
                  <c:v>4653.0249110320283</c:v>
                </c:pt>
                <c:pt idx="40">
                  <c:v>4736.7734282325027</c:v>
                </c:pt>
                <c:pt idx="41">
                  <c:v>4841.1625148279954</c:v>
                </c:pt>
                <c:pt idx="42">
                  <c:v>4913.4045077105575</c:v>
                </c:pt>
                <c:pt idx="43">
                  <c:v>5003.9145907473312</c:v>
                </c:pt>
                <c:pt idx="44">
                  <c:v>5175.2075919335712</c:v>
                </c:pt>
                <c:pt idx="45">
                  <c:v>5242.8232502965602</c:v>
                </c:pt>
                <c:pt idx="46">
                  <c:v>5311.3879003558723</c:v>
                </c:pt>
                <c:pt idx="47">
                  <c:v>5396.7971530249115</c:v>
                </c:pt>
                <c:pt idx="48">
                  <c:v>5473.4282325029653</c:v>
                </c:pt>
                <c:pt idx="49">
                  <c:v>5556.1091340450776</c:v>
                </c:pt>
                <c:pt idx="50">
                  <c:v>5692.0521945432984</c:v>
                </c:pt>
                <c:pt idx="51">
                  <c:v>5764.887307236062</c:v>
                </c:pt>
                <c:pt idx="52">
                  <c:v>5829.0628706998814</c:v>
                </c:pt>
                <c:pt idx="53">
                  <c:v>5895.8481613285885</c:v>
                </c:pt>
                <c:pt idx="54">
                  <c:v>5958.7188612099644</c:v>
                </c:pt>
                <c:pt idx="55">
                  <c:v>6008.422301304864</c:v>
                </c:pt>
                <c:pt idx="56">
                  <c:v>6091.8149466192172</c:v>
                </c:pt>
                <c:pt idx="57">
                  <c:v>6120.1660735468568</c:v>
                </c:pt>
                <c:pt idx="58">
                  <c:v>6154.6856465005931</c:v>
                </c:pt>
                <c:pt idx="59">
                  <c:v>6185.4092526690392</c:v>
                </c:pt>
                <c:pt idx="60">
                  <c:v>6215.6583629893239</c:v>
                </c:pt>
                <c:pt idx="61">
                  <c:v>6242.4673784104389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25-4325-BEC9-ADA5E000BAED}"/>
            </c:ext>
          </c:extLst>
        </c:ser>
        <c:ser>
          <c:idx val="3"/>
          <c:order val="2"/>
          <c:tx>
            <c:strRef>
              <c:f>'Graph Data'!$B$17</c:f>
              <c:strCache>
                <c:ptCount val="1"/>
                <c:pt idx="0">
                  <c:v>BC</c:v>
                </c:pt>
              </c:strCache>
            </c:strRef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 Data'!$C$14:$BL$14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Data'!$C$17:$BL$17</c:f>
              <c:numCache>
                <c:formatCode>0</c:formatCode>
                <c:ptCount val="62"/>
                <c:pt idx="0">
                  <c:v>157.76892430278886</c:v>
                </c:pt>
                <c:pt idx="1">
                  <c:v>176.09561752988049</c:v>
                </c:pt>
                <c:pt idx="2">
                  <c:v>193.22709163346616</c:v>
                </c:pt>
                <c:pt idx="3">
                  <c:v>201.79282868525897</c:v>
                </c:pt>
                <c:pt idx="4">
                  <c:v>212.35059760956176</c:v>
                </c:pt>
                <c:pt idx="5">
                  <c:v>223.30677290836655</c:v>
                </c:pt>
                <c:pt idx="6">
                  <c:v>233.86454183266935</c:v>
                </c:pt>
                <c:pt idx="7">
                  <c:v>239.64143426294822</c:v>
                </c:pt>
                <c:pt idx="8">
                  <c:v>252.19123505976097</c:v>
                </c:pt>
                <c:pt idx="9">
                  <c:v>257.17131474103587</c:v>
                </c:pt>
                <c:pt idx="10">
                  <c:v>266.13545816733068</c:v>
                </c:pt>
                <c:pt idx="11">
                  <c:v>274.10358565737056</c:v>
                </c:pt>
                <c:pt idx="12">
                  <c:v>280.8764940239044</c:v>
                </c:pt>
                <c:pt idx="13">
                  <c:v>287.84860557768928</c:v>
                </c:pt>
                <c:pt idx="14">
                  <c:v>296.81274900398409</c:v>
                </c:pt>
                <c:pt idx="15">
                  <c:v>302.19123505976097</c:v>
                </c:pt>
                <c:pt idx="16">
                  <c:v>310.95617529880479</c:v>
                </c:pt>
                <c:pt idx="17">
                  <c:v>313.74501992031873</c:v>
                </c:pt>
                <c:pt idx="18">
                  <c:v>322.31075697211156</c:v>
                </c:pt>
                <c:pt idx="19">
                  <c:v>328.08764940239047</c:v>
                </c:pt>
                <c:pt idx="20">
                  <c:v>338.44621513944224</c:v>
                </c:pt>
                <c:pt idx="21">
                  <c:v>343.42629482071715</c:v>
                </c:pt>
                <c:pt idx="22">
                  <c:v>357.5697211155379</c:v>
                </c:pt>
                <c:pt idx="23">
                  <c:v>363.34661354581675</c:v>
                </c:pt>
                <c:pt idx="24">
                  <c:v>369.12350597609566</c:v>
                </c:pt>
                <c:pt idx="25">
                  <c:v>388.04780876494027</c:v>
                </c:pt>
                <c:pt idx="26">
                  <c:v>398.00796812749007</c:v>
                </c:pt>
                <c:pt idx="27">
                  <c:v>408.96414342629487</c:v>
                </c:pt>
                <c:pt idx="28">
                  <c:v>415.73705179282871</c:v>
                </c:pt>
                <c:pt idx="29">
                  <c:v>420.71713147410361</c:v>
                </c:pt>
                <c:pt idx="30">
                  <c:v>420.71713147410361</c:v>
                </c:pt>
                <c:pt idx="31">
                  <c:v>427.29083665338646</c:v>
                </c:pt>
                <c:pt idx="32">
                  <c:v>443.02788844621517</c:v>
                </c:pt>
                <c:pt idx="33">
                  <c:v>444.62151394422312</c:v>
                </c:pt>
                <c:pt idx="34">
                  <c:v>449.20318725099605</c:v>
                </c:pt>
                <c:pt idx="35">
                  <c:v>455.77689243027891</c:v>
                </c:pt>
                <c:pt idx="36">
                  <c:v>461.15537848605584</c:v>
                </c:pt>
                <c:pt idx="37">
                  <c:v>464.14342629482076</c:v>
                </c:pt>
                <c:pt idx="38">
                  <c:v>468.72509960159368</c:v>
                </c:pt>
                <c:pt idx="39">
                  <c:v>470.11952191235065</c:v>
                </c:pt>
                <c:pt idx="40">
                  <c:v>473.30677290836655</c:v>
                </c:pt>
                <c:pt idx="41">
                  <c:v>476.49402390438252</c:v>
                </c:pt>
                <c:pt idx="42">
                  <c:v>479.48207171314743</c:v>
                </c:pt>
                <c:pt idx="43">
                  <c:v>483.66533864541839</c:v>
                </c:pt>
                <c:pt idx="44">
                  <c:v>486.85258964143429</c:v>
                </c:pt>
                <c:pt idx="45">
                  <c:v>487.25099601593632</c:v>
                </c:pt>
                <c:pt idx="46">
                  <c:v>491.43426294820722</c:v>
                </c:pt>
                <c:pt idx="47">
                  <c:v>493.82470119521918</c:v>
                </c:pt>
                <c:pt idx="48">
                  <c:v>499.40239043824704</c:v>
                </c:pt>
                <c:pt idx="49">
                  <c:v>501.39442231075702</c:v>
                </c:pt>
                <c:pt idx="50">
                  <c:v>503.78486055776898</c:v>
                </c:pt>
                <c:pt idx="51">
                  <c:v>506.17529880478094</c:v>
                </c:pt>
                <c:pt idx="52">
                  <c:v>507.96812749003988</c:v>
                </c:pt>
                <c:pt idx="53">
                  <c:v>509.56175298804783</c:v>
                </c:pt>
                <c:pt idx="54">
                  <c:v>510.35856573705183</c:v>
                </c:pt>
                <c:pt idx="55">
                  <c:v>512.54980079681275</c:v>
                </c:pt>
                <c:pt idx="56">
                  <c:v>517.33067729083666</c:v>
                </c:pt>
                <c:pt idx="57">
                  <c:v>518.12749003984072</c:v>
                </c:pt>
                <c:pt idx="58">
                  <c:v>522.50996015936255</c:v>
                </c:pt>
                <c:pt idx="59">
                  <c:v>524.30278884462155</c:v>
                </c:pt>
                <c:pt idx="60">
                  <c:v>524.30278884462155</c:v>
                </c:pt>
                <c:pt idx="61">
                  <c:v>524.30278884462155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25-4325-BEC9-ADA5E000BAED}"/>
            </c:ext>
          </c:extLst>
        </c:ser>
        <c:ser>
          <c:idx val="4"/>
          <c:order val="3"/>
          <c:tx>
            <c:strRef>
              <c:f>'Graph Data'!$B$18</c:f>
              <c:strCache>
                <c:ptCount val="1"/>
                <c:pt idx="0">
                  <c:v>Alberta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 Data'!$C$14:$BL$14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Data'!$C$18:$BL$18</c:f>
              <c:numCache>
                <c:formatCode>0</c:formatCode>
                <c:ptCount val="62"/>
                <c:pt idx="0">
                  <c:v>124.88479262672811</c:v>
                </c:pt>
                <c:pt idx="1">
                  <c:v>143.08755760368663</c:v>
                </c:pt>
                <c:pt idx="2">
                  <c:v>158.98617511520737</c:v>
                </c:pt>
                <c:pt idx="3">
                  <c:v>173.73271889400922</c:v>
                </c:pt>
                <c:pt idx="4">
                  <c:v>200.69124423963135</c:v>
                </c:pt>
                <c:pt idx="5">
                  <c:v>223.04147465437788</c:v>
                </c:pt>
                <c:pt idx="6">
                  <c:v>227.18894009216589</c:v>
                </c:pt>
                <c:pt idx="7">
                  <c:v>272.11981566820276</c:v>
                </c:pt>
                <c:pt idx="8">
                  <c:v>288.0184331797235</c:v>
                </c:pt>
                <c:pt idx="9">
                  <c:v>316.35944700460828</c:v>
                </c:pt>
                <c:pt idx="10">
                  <c:v>327.88018433179724</c:v>
                </c:pt>
                <c:pt idx="11">
                  <c:v>334.33179723502303</c:v>
                </c:pt>
                <c:pt idx="12">
                  <c:v>345.62211981566821</c:v>
                </c:pt>
                <c:pt idx="13">
                  <c:v>361.52073732718895</c:v>
                </c:pt>
                <c:pt idx="14">
                  <c:v>399.07834101382491</c:v>
                </c:pt>
                <c:pt idx="15">
                  <c:v>430.87557603686639</c:v>
                </c:pt>
                <c:pt idx="16">
                  <c:v>459.90783410138249</c:v>
                </c:pt>
                <c:pt idx="17">
                  <c:v>497.23502304147468</c:v>
                </c:pt>
                <c:pt idx="18">
                  <c:v>552.30414746543784</c:v>
                </c:pt>
                <c:pt idx="19">
                  <c:v>590.32258064516134</c:v>
                </c:pt>
                <c:pt idx="20">
                  <c:v>670.04608294930881</c:v>
                </c:pt>
                <c:pt idx="21">
                  <c:v>713.13364055299542</c:v>
                </c:pt>
                <c:pt idx="22">
                  <c:v>783.64055299539177</c:v>
                </c:pt>
                <c:pt idx="23">
                  <c:v>857.14285714285722</c:v>
                </c:pt>
                <c:pt idx="24">
                  <c:v>925.57603686635946</c:v>
                </c:pt>
                <c:pt idx="25">
                  <c:v>973.04147465437791</c:v>
                </c:pt>
                <c:pt idx="26">
                  <c:v>1082.0276497695852</c:v>
                </c:pt>
                <c:pt idx="27">
                  <c:v>1117.5115207373271</c:v>
                </c:pt>
                <c:pt idx="28">
                  <c:v>1190.0921658986176</c:v>
                </c:pt>
                <c:pt idx="29">
                  <c:v>1233.8709677419356</c:v>
                </c:pt>
                <c:pt idx="30">
                  <c:v>1284.1013824884792</c:v>
                </c:pt>
                <c:pt idx="31">
                  <c:v>1306.4516129032259</c:v>
                </c:pt>
                <c:pt idx="32">
                  <c:v>1350.9216589861751</c:v>
                </c:pt>
                <c:pt idx="33">
                  <c:v>1357.8341013824886</c:v>
                </c:pt>
                <c:pt idx="34">
                  <c:v>1373.963133640553</c:v>
                </c:pt>
                <c:pt idx="35">
                  <c:v>1386.405529953917</c:v>
                </c:pt>
                <c:pt idx="36">
                  <c:v>1405.0691244239631</c:v>
                </c:pt>
                <c:pt idx="37">
                  <c:v>1418.6635944700461</c:v>
                </c:pt>
                <c:pt idx="38">
                  <c:v>1451.6129032258066</c:v>
                </c:pt>
                <c:pt idx="39">
                  <c:v>1461.9815668202766</c:v>
                </c:pt>
                <c:pt idx="40">
                  <c:v>1476.2672811059908</c:v>
                </c:pt>
                <c:pt idx="41">
                  <c:v>1487.7880184331798</c:v>
                </c:pt>
                <c:pt idx="42">
                  <c:v>1501.1520737327189</c:v>
                </c:pt>
                <c:pt idx="43">
                  <c:v>1517.741935483871</c:v>
                </c:pt>
                <c:pt idx="44">
                  <c:v>1539.8617511520738</c:v>
                </c:pt>
                <c:pt idx="45">
                  <c:v>1547.4654377880186</c:v>
                </c:pt>
                <c:pt idx="46">
                  <c:v>1551.8433179723502</c:v>
                </c:pt>
                <c:pt idx="47">
                  <c:v>1559.4470046082949</c:v>
                </c:pt>
                <c:pt idx="48">
                  <c:v>1566.8202764976959</c:v>
                </c:pt>
                <c:pt idx="49">
                  <c:v>1570.9677419354839</c:v>
                </c:pt>
                <c:pt idx="50">
                  <c:v>1585.0230414746545</c:v>
                </c:pt>
                <c:pt idx="51">
                  <c:v>1590.0921658986176</c:v>
                </c:pt>
                <c:pt idx="52">
                  <c:v>1595.852534562212</c:v>
                </c:pt>
                <c:pt idx="53">
                  <c:v>1602.5345622119817</c:v>
                </c:pt>
                <c:pt idx="54">
                  <c:v>1608.0645161290322</c:v>
                </c:pt>
                <c:pt idx="55">
                  <c:v>1611.0599078341015</c:v>
                </c:pt>
                <c:pt idx="56">
                  <c:v>1623.0414746543779</c:v>
                </c:pt>
                <c:pt idx="57">
                  <c:v>1626.036866359447</c:v>
                </c:pt>
                <c:pt idx="58">
                  <c:v>1630.4147465437788</c:v>
                </c:pt>
                <c:pt idx="59">
                  <c:v>1633.8709677419356</c:v>
                </c:pt>
                <c:pt idx="60">
                  <c:v>1635.483870967742</c:v>
                </c:pt>
                <c:pt idx="61">
                  <c:v>1644.7004608294931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25-4325-BEC9-ADA5E000BAED}"/>
            </c:ext>
          </c:extLst>
        </c:ser>
        <c:ser>
          <c:idx val="5"/>
          <c:order val="4"/>
          <c:tx>
            <c:strRef>
              <c:f>'Graph Data'!$B$19</c:f>
              <c:strCache>
                <c:ptCount val="1"/>
                <c:pt idx="0">
                  <c:v>Manitoba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'Graph Data'!$C$14:$BL$14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Data'!$C$19:$BL$19</c:f>
              <c:numCache>
                <c:formatCode>0</c:formatCode>
                <c:ptCount val="62"/>
                <c:pt idx="0">
                  <c:v>28.676470588235293</c:v>
                </c:pt>
                <c:pt idx="1">
                  <c:v>47.058823529411761</c:v>
                </c:pt>
                <c:pt idx="2">
                  <c:v>70.588235294117638</c:v>
                </c:pt>
                <c:pt idx="3">
                  <c:v>75.735294117647058</c:v>
                </c:pt>
                <c:pt idx="4">
                  <c:v>93.382352941176464</c:v>
                </c:pt>
                <c:pt idx="5">
                  <c:v>122.79411764705881</c:v>
                </c:pt>
                <c:pt idx="6">
                  <c:v>133.8235294117647</c:v>
                </c:pt>
                <c:pt idx="7">
                  <c:v>142.64705882352939</c:v>
                </c:pt>
                <c:pt idx="8">
                  <c:v>150</c:v>
                </c:pt>
                <c:pt idx="9">
                  <c:v>159.55882352941174</c:v>
                </c:pt>
                <c:pt idx="10">
                  <c:v>162.5</c:v>
                </c:pt>
                <c:pt idx="11">
                  <c:v>164.70588235294116</c:v>
                </c:pt>
                <c:pt idx="12">
                  <c:v>169.11764705882351</c:v>
                </c:pt>
                <c:pt idx="13">
                  <c:v>178.67647058823528</c:v>
                </c:pt>
                <c:pt idx="14">
                  <c:v>180.88235294117646</c:v>
                </c:pt>
                <c:pt idx="15">
                  <c:v>180.88235294117646</c:v>
                </c:pt>
                <c:pt idx="16">
                  <c:v>180.88235294117646</c:v>
                </c:pt>
                <c:pt idx="17">
                  <c:v>183.8235294117647</c:v>
                </c:pt>
                <c:pt idx="18">
                  <c:v>183.8235294117647</c:v>
                </c:pt>
                <c:pt idx="19">
                  <c:v>186.02941176470586</c:v>
                </c:pt>
                <c:pt idx="20">
                  <c:v>186.76470588235293</c:v>
                </c:pt>
                <c:pt idx="21">
                  <c:v>187.5</c:v>
                </c:pt>
                <c:pt idx="22">
                  <c:v>188.97058823529412</c:v>
                </c:pt>
                <c:pt idx="23">
                  <c:v>192.64705882352939</c:v>
                </c:pt>
                <c:pt idx="24">
                  <c:v>193.38235294117646</c:v>
                </c:pt>
                <c:pt idx="25">
                  <c:v>196.3235294117647</c:v>
                </c:pt>
                <c:pt idx="26">
                  <c:v>199.99999999999997</c:v>
                </c:pt>
                <c:pt idx="27">
                  <c:v>199.99999999999997</c:v>
                </c:pt>
                <c:pt idx="28">
                  <c:v>200.73529411764704</c:v>
                </c:pt>
                <c:pt idx="29">
                  <c:v>202.20588235294116</c:v>
                </c:pt>
                <c:pt idx="30">
                  <c:v>205.14705882352939</c:v>
                </c:pt>
                <c:pt idx="31">
                  <c:v>205.88235294117646</c:v>
                </c:pt>
                <c:pt idx="32">
                  <c:v>206.61764705882351</c:v>
                </c:pt>
                <c:pt idx="33">
                  <c:v>207.35294117647058</c:v>
                </c:pt>
                <c:pt idx="34">
                  <c:v>208.08823529411762</c:v>
                </c:pt>
                <c:pt idx="35">
                  <c:v>208.8235294117647</c:v>
                </c:pt>
                <c:pt idx="36">
                  <c:v>208.8235294117647</c:v>
                </c:pt>
                <c:pt idx="37">
                  <c:v>208.8235294117647</c:v>
                </c:pt>
                <c:pt idx="38">
                  <c:v>212.49999999999997</c:v>
                </c:pt>
                <c:pt idx="39">
                  <c:v>213.23529411764704</c:v>
                </c:pt>
                <c:pt idx="40">
                  <c:v>213.23529411764704</c:v>
                </c:pt>
                <c:pt idx="41">
                  <c:v>212.49999999999997</c:v>
                </c:pt>
                <c:pt idx="42">
                  <c:v>212.49999999999997</c:v>
                </c:pt>
                <c:pt idx="43">
                  <c:v>212.49999999999997</c:v>
                </c:pt>
                <c:pt idx="44">
                  <c:v>213.23529411764704</c:v>
                </c:pt>
                <c:pt idx="45">
                  <c:v>213.23529411764704</c:v>
                </c:pt>
                <c:pt idx="46">
                  <c:v>213.23529411764704</c:v>
                </c:pt>
                <c:pt idx="47">
                  <c:v>213.23529411764704</c:v>
                </c:pt>
                <c:pt idx="48">
                  <c:v>214.70588235294116</c:v>
                </c:pt>
                <c:pt idx="49">
                  <c:v>214.70588235294116</c:v>
                </c:pt>
                <c:pt idx="50">
                  <c:v>214.70588235294116</c:v>
                </c:pt>
                <c:pt idx="51">
                  <c:v>214.70588235294116</c:v>
                </c:pt>
                <c:pt idx="52">
                  <c:v>214.70588235294116</c:v>
                </c:pt>
                <c:pt idx="53">
                  <c:v>216.17647058823528</c:v>
                </c:pt>
                <c:pt idx="54">
                  <c:v>216.17647058823528</c:v>
                </c:pt>
                <c:pt idx="55">
                  <c:v>216.17647058823528</c:v>
                </c:pt>
                <c:pt idx="56">
                  <c:v>216.91176470588235</c:v>
                </c:pt>
                <c:pt idx="57">
                  <c:v>218.38235294117646</c:v>
                </c:pt>
                <c:pt idx="58">
                  <c:v>219.11764705882351</c:v>
                </c:pt>
                <c:pt idx="59">
                  <c:v>219.11764705882351</c:v>
                </c:pt>
                <c:pt idx="60">
                  <c:v>220.58823529411762</c:v>
                </c:pt>
                <c:pt idx="61">
                  <c:v>220.58823529411762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25-4325-BEC9-ADA5E000BAED}"/>
            </c:ext>
          </c:extLst>
        </c:ser>
        <c:ser>
          <c:idx val="6"/>
          <c:order val="5"/>
          <c:tx>
            <c:strRef>
              <c:f>'Graph Data'!$B$20</c:f>
              <c:strCache>
                <c:ptCount val="1"/>
                <c:pt idx="0">
                  <c:v>Sask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'Graph Data'!$C$14:$BL$14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Data'!$C$20:$BL$20</c:f>
              <c:numCache>
                <c:formatCode>0</c:formatCode>
                <c:ptCount val="62"/>
                <c:pt idx="0">
                  <c:v>88.8888888888889</c:v>
                </c:pt>
                <c:pt idx="1">
                  <c:v>114.52991452991454</c:v>
                </c:pt>
                <c:pt idx="2">
                  <c:v>150.42735042735043</c:v>
                </c:pt>
                <c:pt idx="3">
                  <c:v>157.26495726495727</c:v>
                </c:pt>
                <c:pt idx="4">
                  <c:v>164.95726495726495</c:v>
                </c:pt>
                <c:pt idx="5">
                  <c:v>176.06837606837607</c:v>
                </c:pt>
                <c:pt idx="6">
                  <c:v>188.03418803418805</c:v>
                </c:pt>
                <c:pt idx="7">
                  <c:v>197.43589743589746</c:v>
                </c:pt>
                <c:pt idx="8">
                  <c:v>216.23931623931625</c:v>
                </c:pt>
                <c:pt idx="9">
                  <c:v>222.22222222222223</c:v>
                </c:pt>
                <c:pt idx="10">
                  <c:v>231.62393162393164</c:v>
                </c:pt>
                <c:pt idx="11">
                  <c:v>237.60683760683762</c:v>
                </c:pt>
                <c:pt idx="12">
                  <c:v>243.58974358974359</c:v>
                </c:pt>
                <c:pt idx="13">
                  <c:v>247.00854700854703</c:v>
                </c:pt>
                <c:pt idx="14">
                  <c:v>256.41025641025641</c:v>
                </c:pt>
                <c:pt idx="15">
                  <c:v>257.26495726495727</c:v>
                </c:pt>
                <c:pt idx="16">
                  <c:v>259.82905982905987</c:v>
                </c:pt>
                <c:pt idx="17">
                  <c:v>260.68376068376068</c:v>
                </c:pt>
                <c:pt idx="18">
                  <c:v>262.39316239316241</c:v>
                </c:pt>
                <c:pt idx="19">
                  <c:v>267.52136752136755</c:v>
                </c:pt>
                <c:pt idx="20">
                  <c:v>270.08547008547009</c:v>
                </c:pt>
                <c:pt idx="21">
                  <c:v>273.5042735042735</c:v>
                </c:pt>
                <c:pt idx="22">
                  <c:v>278.63247863247864</c:v>
                </c:pt>
                <c:pt idx="23">
                  <c:v>282.90598290598291</c:v>
                </c:pt>
                <c:pt idx="24">
                  <c:v>291.45299145299145</c:v>
                </c:pt>
                <c:pt idx="25">
                  <c:v>298.29059829059833</c:v>
                </c:pt>
                <c:pt idx="26">
                  <c:v>311.96581196581201</c:v>
                </c:pt>
                <c:pt idx="27">
                  <c:v>312.82051282051282</c:v>
                </c:pt>
                <c:pt idx="28">
                  <c:v>327.35042735042737</c:v>
                </c:pt>
                <c:pt idx="29">
                  <c:v>332.47863247863251</c:v>
                </c:pt>
                <c:pt idx="30">
                  <c:v>354.70085470085473</c:v>
                </c:pt>
                <c:pt idx="31">
                  <c:v>359.82905982905987</c:v>
                </c:pt>
                <c:pt idx="32">
                  <c:v>399.14529914529919</c:v>
                </c:pt>
                <c:pt idx="33">
                  <c:v>416.23931623931628</c:v>
                </c:pt>
                <c:pt idx="34">
                  <c:v>437.60683760683764</c:v>
                </c:pt>
                <c:pt idx="35">
                  <c:v>453.84615384615387</c:v>
                </c:pt>
                <c:pt idx="36">
                  <c:v>464.95726495726501</c:v>
                </c:pt>
                <c:pt idx="37">
                  <c:v>472.64957264957269</c:v>
                </c:pt>
                <c:pt idx="38">
                  <c:v>485.47008547008551</c:v>
                </c:pt>
                <c:pt idx="39">
                  <c:v>489.74358974358978</c:v>
                </c:pt>
                <c:pt idx="40">
                  <c:v>493.16239316239319</c:v>
                </c:pt>
                <c:pt idx="41">
                  <c:v>497.43589743589746</c:v>
                </c:pt>
                <c:pt idx="42">
                  <c:v>504.27350427350433</c:v>
                </c:pt>
                <c:pt idx="43">
                  <c:v>505.12820512820514</c:v>
                </c:pt>
                <c:pt idx="44">
                  <c:v>505.982905982906</c:v>
                </c:pt>
                <c:pt idx="45">
                  <c:v>511.96581196581201</c:v>
                </c:pt>
                <c:pt idx="46">
                  <c:v>529.91452991452991</c:v>
                </c:pt>
                <c:pt idx="47">
                  <c:v>531.62393162393164</c:v>
                </c:pt>
                <c:pt idx="48">
                  <c:v>535.89743589743591</c:v>
                </c:pt>
                <c:pt idx="49">
                  <c:v>538.46153846153845</c:v>
                </c:pt>
                <c:pt idx="50">
                  <c:v>541.88034188034192</c:v>
                </c:pt>
                <c:pt idx="51">
                  <c:v>541.88034188034192</c:v>
                </c:pt>
                <c:pt idx="52">
                  <c:v>544.44444444444446</c:v>
                </c:pt>
                <c:pt idx="53">
                  <c:v>546.15384615384619</c:v>
                </c:pt>
                <c:pt idx="54">
                  <c:v>547.86324786324792</c:v>
                </c:pt>
                <c:pt idx="55">
                  <c:v>551.28205128205127</c:v>
                </c:pt>
                <c:pt idx="56">
                  <c:v>552.13675213675219</c:v>
                </c:pt>
                <c:pt idx="57">
                  <c:v>552.13675213675219</c:v>
                </c:pt>
                <c:pt idx="58">
                  <c:v>552.991452991453</c:v>
                </c:pt>
                <c:pt idx="59">
                  <c:v>553.84615384615392</c:v>
                </c:pt>
                <c:pt idx="60">
                  <c:v>554.70085470085473</c:v>
                </c:pt>
                <c:pt idx="61">
                  <c:v>555.55555555555554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D25-4325-BEC9-ADA5E000BAED}"/>
            </c:ext>
          </c:extLst>
        </c:ser>
        <c:ser>
          <c:idx val="9"/>
          <c:order val="6"/>
          <c:tx>
            <c:strRef>
              <c:f>'Graph Data'!$B$21</c:f>
              <c:strCache>
                <c:ptCount val="1"/>
                <c:pt idx="0">
                  <c:v>Maritimes</c:v>
                </c:pt>
              </c:strCache>
            </c:strRef>
          </c:tx>
          <c:spPr>
            <a:ln w="38100" cap="rnd">
              <a:solidFill>
                <a:srgbClr val="255E91"/>
              </a:solidFill>
              <a:round/>
            </a:ln>
            <a:effectLst/>
          </c:spPr>
          <c:marker>
            <c:symbol val="none"/>
          </c:marker>
          <c:cat>
            <c:numRef>
              <c:f>'Graph Data'!$C$14:$BL$14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Data'!$C$21:$BL$21</c:f>
              <c:numCache>
                <c:formatCode>0</c:formatCode>
                <c:ptCount val="62"/>
                <c:pt idx="0">
                  <c:v>76.150185087255423</c:v>
                </c:pt>
                <c:pt idx="1">
                  <c:v>97.303014278159708</c:v>
                </c:pt>
                <c:pt idx="2">
                  <c:v>112.63881544156531</c:v>
                </c:pt>
                <c:pt idx="3">
                  <c:v>125.85933368588049</c:v>
                </c:pt>
                <c:pt idx="4">
                  <c:v>145.42570068746696</c:v>
                </c:pt>
                <c:pt idx="5">
                  <c:v>161.81914331041776</c:v>
                </c:pt>
                <c:pt idx="6">
                  <c:v>171.3379164463247</c:v>
                </c:pt>
                <c:pt idx="7">
                  <c:v>188.26017979904813</c:v>
                </c:pt>
                <c:pt idx="8">
                  <c:v>221.04706504494976</c:v>
                </c:pt>
                <c:pt idx="9">
                  <c:v>231.09465891062931</c:v>
                </c:pt>
                <c:pt idx="10">
                  <c:v>250.66102591221576</c:v>
                </c:pt>
                <c:pt idx="11">
                  <c:v>269.16975145425698</c:v>
                </c:pt>
                <c:pt idx="12">
                  <c:v>287.67847699629823</c:v>
                </c:pt>
                <c:pt idx="13">
                  <c:v>298.78371232152301</c:v>
                </c:pt>
                <c:pt idx="14">
                  <c:v>325.22474881015336</c:v>
                </c:pt>
                <c:pt idx="15">
                  <c:v>347.96404019037544</c:v>
                </c:pt>
                <c:pt idx="16">
                  <c:v>365.94394500264411</c:v>
                </c:pt>
                <c:pt idx="17">
                  <c:v>381.80856689582231</c:v>
                </c:pt>
                <c:pt idx="18">
                  <c:v>396.08672659968272</c:v>
                </c:pt>
                <c:pt idx="19">
                  <c:v>419.35483870967744</c:v>
                </c:pt>
                <c:pt idx="20">
                  <c:v>457.42993125330514</c:v>
                </c:pt>
                <c:pt idx="21">
                  <c:v>465.89106292966682</c:v>
                </c:pt>
                <c:pt idx="22">
                  <c:v>484.39978847170806</c:v>
                </c:pt>
                <c:pt idx="23">
                  <c:v>513.48492860920146</c:v>
                </c:pt>
                <c:pt idx="24">
                  <c:v>525.64780539397145</c:v>
                </c:pt>
                <c:pt idx="25">
                  <c:v>533.58011634056049</c:v>
                </c:pt>
                <c:pt idx="26">
                  <c:v>552.08884188260174</c:v>
                </c:pt>
                <c:pt idx="27">
                  <c:v>560.0211528291909</c:v>
                </c:pt>
                <c:pt idx="28">
                  <c:v>571.12638815441562</c:v>
                </c:pt>
                <c:pt idx="29">
                  <c:v>577.47223691168688</c:v>
                </c:pt>
                <c:pt idx="30">
                  <c:v>583.81808566895825</c:v>
                </c:pt>
                <c:pt idx="31">
                  <c:v>585.93336858804867</c:v>
                </c:pt>
                <c:pt idx="32">
                  <c:v>597.56742464304602</c:v>
                </c:pt>
                <c:pt idx="33">
                  <c:v>601.26916975145423</c:v>
                </c:pt>
                <c:pt idx="34">
                  <c:v>605.49973558963507</c:v>
                </c:pt>
                <c:pt idx="35">
                  <c:v>610.25912215758854</c:v>
                </c:pt>
                <c:pt idx="36">
                  <c:v>610.78794288736117</c:v>
                </c:pt>
                <c:pt idx="37">
                  <c:v>612.37440507667895</c:v>
                </c:pt>
                <c:pt idx="38">
                  <c:v>616.6049709148599</c:v>
                </c:pt>
                <c:pt idx="39">
                  <c:v>617.13379164463242</c:v>
                </c:pt>
                <c:pt idx="40">
                  <c:v>619.24907456372284</c:v>
                </c:pt>
                <c:pt idx="41">
                  <c:v>620.30671602326811</c:v>
                </c:pt>
                <c:pt idx="42">
                  <c:v>624.53728186144895</c:v>
                </c:pt>
                <c:pt idx="43">
                  <c:v>626.12374405076673</c:v>
                </c:pt>
                <c:pt idx="44">
                  <c:v>629.29666842940242</c:v>
                </c:pt>
                <c:pt idx="45">
                  <c:v>629.82548915917505</c:v>
                </c:pt>
                <c:pt idx="46">
                  <c:v>630.35430988894768</c:v>
                </c:pt>
                <c:pt idx="47">
                  <c:v>631.41195134849283</c:v>
                </c:pt>
                <c:pt idx="48">
                  <c:v>632.4695928080381</c:v>
                </c:pt>
                <c:pt idx="49">
                  <c:v>632.99841353781073</c:v>
                </c:pt>
                <c:pt idx="50">
                  <c:v>634.05605499735589</c:v>
                </c:pt>
                <c:pt idx="51">
                  <c:v>635.11369645690115</c:v>
                </c:pt>
                <c:pt idx="52">
                  <c:v>636.1713379164463</c:v>
                </c:pt>
                <c:pt idx="53">
                  <c:v>638.81544156530936</c:v>
                </c:pt>
                <c:pt idx="54">
                  <c:v>639.87308302485462</c:v>
                </c:pt>
                <c:pt idx="55">
                  <c:v>640.93072448439978</c:v>
                </c:pt>
                <c:pt idx="56">
                  <c:v>643.04600740349019</c:v>
                </c:pt>
                <c:pt idx="57">
                  <c:v>643.57482813326283</c:v>
                </c:pt>
                <c:pt idx="58">
                  <c:v>645.16129032258061</c:v>
                </c:pt>
                <c:pt idx="59">
                  <c:v>645.69011105235325</c:v>
                </c:pt>
                <c:pt idx="60">
                  <c:v>645.69011105235325</c:v>
                </c:pt>
                <c:pt idx="61">
                  <c:v>646.74775251189851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D25-4325-BEC9-ADA5E000BAED}"/>
            </c:ext>
          </c:extLst>
        </c:ser>
        <c:ser>
          <c:idx val="10"/>
          <c:order val="7"/>
          <c:tx>
            <c:strRef>
              <c:f>'Graph Data'!$B$22</c:f>
              <c:strCache>
                <c:ptCount val="1"/>
                <c:pt idx="0">
                  <c:v>NFLD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 Data'!$C$14:$BL$14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Data'!$C$22:$BL$22</c:f>
              <c:numCache>
                <c:formatCode>0</c:formatCode>
                <c:ptCount val="62"/>
                <c:pt idx="0">
                  <c:v>194.6564885496183</c:v>
                </c:pt>
                <c:pt idx="1">
                  <c:v>229.00763358778624</c:v>
                </c:pt>
                <c:pt idx="2">
                  <c:v>282.44274809160305</c:v>
                </c:pt>
                <c:pt idx="3">
                  <c:v>290.07633587786256</c:v>
                </c:pt>
                <c:pt idx="4">
                  <c:v>333.96946564885496</c:v>
                </c:pt>
                <c:pt idx="5">
                  <c:v>349.23664122137404</c:v>
                </c:pt>
                <c:pt idx="6">
                  <c:v>372.13740458015263</c:v>
                </c:pt>
                <c:pt idx="7">
                  <c:v>387.40458015267171</c:v>
                </c:pt>
                <c:pt idx="8">
                  <c:v>431.29770992366412</c:v>
                </c:pt>
                <c:pt idx="9">
                  <c:v>435.1145038167939</c:v>
                </c:pt>
                <c:pt idx="10">
                  <c:v>442.74809160305341</c:v>
                </c:pt>
                <c:pt idx="11">
                  <c:v>450.38167938931298</c:v>
                </c:pt>
                <c:pt idx="12">
                  <c:v>456.1068702290076</c:v>
                </c:pt>
                <c:pt idx="13">
                  <c:v>459.92366412213738</c:v>
                </c:pt>
                <c:pt idx="14">
                  <c:v>459.92366412213738</c:v>
                </c:pt>
                <c:pt idx="15">
                  <c:v>465.64885496183206</c:v>
                </c:pt>
                <c:pt idx="16">
                  <c:v>471.37404580152668</c:v>
                </c:pt>
                <c:pt idx="17">
                  <c:v>480.91603053435114</c:v>
                </c:pt>
                <c:pt idx="18">
                  <c:v>488.54961832061065</c:v>
                </c:pt>
                <c:pt idx="19">
                  <c:v>488.54961832061065</c:v>
                </c:pt>
                <c:pt idx="20">
                  <c:v>488.54961832061065</c:v>
                </c:pt>
                <c:pt idx="21">
                  <c:v>488.54961832061065</c:v>
                </c:pt>
                <c:pt idx="22">
                  <c:v>488.54961832061065</c:v>
                </c:pt>
                <c:pt idx="23">
                  <c:v>488.54961832061065</c:v>
                </c:pt>
                <c:pt idx="24">
                  <c:v>488.54961832061065</c:v>
                </c:pt>
                <c:pt idx="25">
                  <c:v>490.45801526717554</c:v>
                </c:pt>
                <c:pt idx="26">
                  <c:v>490.45801526717554</c:v>
                </c:pt>
                <c:pt idx="27">
                  <c:v>492.36641221374043</c:v>
                </c:pt>
                <c:pt idx="28">
                  <c:v>492.36641221374043</c:v>
                </c:pt>
                <c:pt idx="29">
                  <c:v>492.36641221374043</c:v>
                </c:pt>
                <c:pt idx="30">
                  <c:v>494.27480916030532</c:v>
                </c:pt>
                <c:pt idx="31">
                  <c:v>494.27480916030532</c:v>
                </c:pt>
                <c:pt idx="32">
                  <c:v>494.27480916030532</c:v>
                </c:pt>
                <c:pt idx="33">
                  <c:v>494.27480916030532</c:v>
                </c:pt>
                <c:pt idx="34">
                  <c:v>494.27480916030532</c:v>
                </c:pt>
                <c:pt idx="35">
                  <c:v>498.09160305343511</c:v>
                </c:pt>
                <c:pt idx="36">
                  <c:v>498.09160305343511</c:v>
                </c:pt>
                <c:pt idx="37">
                  <c:v>498.09160305343511</c:v>
                </c:pt>
                <c:pt idx="38">
                  <c:v>498.09160305343511</c:v>
                </c:pt>
                <c:pt idx="39">
                  <c:v>498.09160305343511</c:v>
                </c:pt>
                <c:pt idx="40">
                  <c:v>498.09160305343511</c:v>
                </c:pt>
                <c:pt idx="41">
                  <c:v>498.09160305343511</c:v>
                </c:pt>
                <c:pt idx="42">
                  <c:v>496.18320610687022</c:v>
                </c:pt>
                <c:pt idx="43">
                  <c:v>496.18320610687022</c:v>
                </c:pt>
                <c:pt idx="44">
                  <c:v>496.18320610687022</c:v>
                </c:pt>
                <c:pt idx="45">
                  <c:v>496.18320610687022</c:v>
                </c:pt>
                <c:pt idx="46">
                  <c:v>496.18320610687022</c:v>
                </c:pt>
                <c:pt idx="47">
                  <c:v>496.18320610687022</c:v>
                </c:pt>
                <c:pt idx="48">
                  <c:v>496.18320610687022</c:v>
                </c:pt>
                <c:pt idx="49">
                  <c:v>496.18320610687022</c:v>
                </c:pt>
                <c:pt idx="50">
                  <c:v>496.18320610687022</c:v>
                </c:pt>
                <c:pt idx="51">
                  <c:v>496.18320610687022</c:v>
                </c:pt>
                <c:pt idx="52">
                  <c:v>496.18320610687022</c:v>
                </c:pt>
                <c:pt idx="53">
                  <c:v>498.09160305343511</c:v>
                </c:pt>
                <c:pt idx="54">
                  <c:v>498.09160305343511</c:v>
                </c:pt>
                <c:pt idx="55">
                  <c:v>498.09160305343511</c:v>
                </c:pt>
                <c:pt idx="56">
                  <c:v>498.09160305343511</c:v>
                </c:pt>
                <c:pt idx="57">
                  <c:v>498.09160305343511</c:v>
                </c:pt>
                <c:pt idx="58">
                  <c:v>498.09160305343511</c:v>
                </c:pt>
                <c:pt idx="59">
                  <c:v>498.09160305343511</c:v>
                </c:pt>
                <c:pt idx="60">
                  <c:v>498.09160305343511</c:v>
                </c:pt>
                <c:pt idx="61">
                  <c:v>498.09160305343511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D25-4325-BEC9-ADA5E000BAED}"/>
            </c:ext>
          </c:extLst>
        </c:ser>
        <c:ser>
          <c:idx val="11"/>
          <c:order val="8"/>
          <c:tx>
            <c:strRef>
              <c:f>'Graph Data'!$B$23</c:f>
              <c:strCache>
                <c:ptCount val="1"/>
                <c:pt idx="0">
                  <c:v>Canada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 Data'!$C$14:$BL$14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Data'!$C$23:$BL$23</c:f>
              <c:numCache>
                <c:formatCode>0</c:formatCode>
                <c:ptCount val="62"/>
                <c:pt idx="0">
                  <c:v>125.98404255319149</c:v>
                </c:pt>
                <c:pt idx="1">
                  <c:v>156.32978723404256</c:v>
                </c:pt>
                <c:pt idx="2">
                  <c:v>198.08510638297872</c:v>
                </c:pt>
                <c:pt idx="3">
                  <c:v>228.48404255319147</c:v>
                </c:pt>
                <c:pt idx="4">
                  <c:v>258.82978723404256</c:v>
                </c:pt>
                <c:pt idx="5">
                  <c:v>300.07978723404256</c:v>
                </c:pt>
                <c:pt idx="6">
                  <c:v>330.90425531914894</c:v>
                </c:pt>
                <c:pt idx="7">
                  <c:v>372.81914893617022</c:v>
                </c:pt>
                <c:pt idx="8">
                  <c:v>440.37234042553189</c:v>
                </c:pt>
                <c:pt idx="9">
                  <c:v>475.98404255319144</c:v>
                </c:pt>
                <c:pt idx="10">
                  <c:v>513.031914893617</c:v>
                </c:pt>
                <c:pt idx="11">
                  <c:v>552.26063829787233</c:v>
                </c:pt>
                <c:pt idx="12">
                  <c:v>589.04255319148933</c:v>
                </c:pt>
                <c:pt idx="13">
                  <c:v>620.15957446808511</c:v>
                </c:pt>
                <c:pt idx="14">
                  <c:v>682.97872340425533</c:v>
                </c:pt>
                <c:pt idx="15">
                  <c:v>719.76063829787233</c:v>
                </c:pt>
                <c:pt idx="16">
                  <c:v>755.23936170212767</c:v>
                </c:pt>
                <c:pt idx="17">
                  <c:v>800.69148936170211</c:v>
                </c:pt>
                <c:pt idx="18">
                  <c:v>849.12234042553189</c:v>
                </c:pt>
                <c:pt idx="19">
                  <c:v>887.845744680851</c:v>
                </c:pt>
                <c:pt idx="20">
                  <c:v>979.54787234042544</c:v>
                </c:pt>
                <c:pt idx="21">
                  <c:v>1022.3936170212766</c:v>
                </c:pt>
                <c:pt idx="22">
                  <c:v>1068.8829787234042</c:v>
                </c:pt>
                <c:pt idx="23">
                  <c:v>1119.9468085106382</c:v>
                </c:pt>
                <c:pt idx="24">
                  <c:v>1167.2340425531916</c:v>
                </c:pt>
                <c:pt idx="25">
                  <c:v>1205.9840425531916</c:v>
                </c:pt>
                <c:pt idx="26">
                  <c:v>1289.8936170212764</c:v>
                </c:pt>
                <c:pt idx="27">
                  <c:v>1330.4787234042553</c:v>
                </c:pt>
                <c:pt idx="28">
                  <c:v>1372.2606382978722</c:v>
                </c:pt>
                <c:pt idx="29">
                  <c:v>1415.8510638297871</c:v>
                </c:pt>
                <c:pt idx="30">
                  <c:v>1464.3882978723404</c:v>
                </c:pt>
                <c:pt idx="31">
                  <c:v>1508.3510638297871</c:v>
                </c:pt>
                <c:pt idx="32">
                  <c:v>1616.2765957446809</c:v>
                </c:pt>
                <c:pt idx="33">
                  <c:v>1650.1595744680851</c:v>
                </c:pt>
                <c:pt idx="34">
                  <c:v>1686.8617021276596</c:v>
                </c:pt>
                <c:pt idx="35">
                  <c:v>1724.3351063829787</c:v>
                </c:pt>
                <c:pt idx="36">
                  <c:v>1766.8617021276596</c:v>
                </c:pt>
                <c:pt idx="37">
                  <c:v>1800.5851063829787</c:v>
                </c:pt>
                <c:pt idx="38">
                  <c:v>1861.1968085106382</c:v>
                </c:pt>
                <c:pt idx="39">
                  <c:v>1892.4734042553191</c:v>
                </c:pt>
                <c:pt idx="40">
                  <c:v>1922.313829787234</c:v>
                </c:pt>
                <c:pt idx="41">
                  <c:v>1954.4680851063829</c:v>
                </c:pt>
                <c:pt idx="42">
                  <c:v>1984.0691489361702</c:v>
                </c:pt>
                <c:pt idx="43">
                  <c:v>2017.6595744680851</c:v>
                </c:pt>
                <c:pt idx="44">
                  <c:v>2076.382978723404</c:v>
                </c:pt>
                <c:pt idx="45">
                  <c:v>2104.0425531914893</c:v>
                </c:pt>
                <c:pt idx="46">
                  <c:v>2131.4361702127658</c:v>
                </c:pt>
                <c:pt idx="47">
                  <c:v>2162.872340425532</c:v>
                </c:pt>
                <c:pt idx="48">
                  <c:v>2193.6170212765956</c:v>
                </c:pt>
                <c:pt idx="49">
                  <c:v>2223.1382978723404</c:v>
                </c:pt>
                <c:pt idx="50">
                  <c:v>2279.5212765957444</c:v>
                </c:pt>
                <c:pt idx="51">
                  <c:v>2304.4414893617022</c:v>
                </c:pt>
                <c:pt idx="52">
                  <c:v>2327.632978723404</c:v>
                </c:pt>
                <c:pt idx="53">
                  <c:v>2354.0425531914893</c:v>
                </c:pt>
                <c:pt idx="54">
                  <c:v>2378.1382978723404</c:v>
                </c:pt>
                <c:pt idx="55">
                  <c:v>2398.6702127659573</c:v>
                </c:pt>
                <c:pt idx="56">
                  <c:v>2438.9627659574467</c:v>
                </c:pt>
                <c:pt idx="57">
                  <c:v>2457.7127659574467</c:v>
                </c:pt>
                <c:pt idx="58">
                  <c:v>2475.6648936170213</c:v>
                </c:pt>
                <c:pt idx="59">
                  <c:v>2492.7127659574467</c:v>
                </c:pt>
                <c:pt idx="60">
                  <c:v>2508.9095744680849</c:v>
                </c:pt>
                <c:pt idx="61">
                  <c:v>2528.1117021276596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D25-4325-BEC9-ADA5E000BAED}"/>
            </c:ext>
          </c:extLst>
        </c:ser>
        <c:ser>
          <c:idx val="7"/>
          <c:order val="9"/>
          <c:tx>
            <c:strRef>
              <c:f>'Graph Data'!$B$24</c:f>
              <c:strCache>
                <c:ptCount val="1"/>
                <c:pt idx="0">
                  <c:v>USA</c:v>
                </c:pt>
              </c:strCache>
            </c:strRef>
          </c:tx>
          <c:spPr>
            <a:ln w="41275" cap="rnd">
              <a:solidFill>
                <a:schemeClr val="accent6">
                  <a:lumMod val="5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'Graph Data'!$C$14:$BL$14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Data'!$C$24:$BL$24</c:f>
              <c:numCache>
                <c:formatCode>0</c:formatCode>
                <c:ptCount val="62"/>
                <c:pt idx="0">
                  <c:v>304.01529051987768</c:v>
                </c:pt>
                <c:pt idx="1">
                  <c:v>361.57186544342505</c:v>
                </c:pt>
                <c:pt idx="2">
                  <c:v>490.91743119266056</c:v>
                </c:pt>
                <c:pt idx="3">
                  <c:v>565.04587155963304</c:v>
                </c:pt>
                <c:pt idx="4">
                  <c:v>644.55657492354737</c:v>
                </c:pt>
                <c:pt idx="5">
                  <c:v>730.91437308868501</c:v>
                </c:pt>
                <c:pt idx="6">
                  <c:v>842.63608562691127</c:v>
                </c:pt>
                <c:pt idx="7">
                  <c:v>945.25076452599387</c:v>
                </c:pt>
                <c:pt idx="8">
                  <c:v>1112.5840978593271</c:v>
                </c:pt>
                <c:pt idx="9">
                  <c:v>1205.8715596330276</c:v>
                </c:pt>
                <c:pt idx="10">
                  <c:v>1297.8318042813455</c:v>
                </c:pt>
                <c:pt idx="11">
                  <c:v>1402.0611620795107</c:v>
                </c:pt>
                <c:pt idx="12">
                  <c:v>1502.006116207951</c:v>
                </c:pt>
                <c:pt idx="13">
                  <c:v>1599.9969418960245</c:v>
                </c:pt>
                <c:pt idx="14">
                  <c:v>1763.834862385321</c:v>
                </c:pt>
                <c:pt idx="15">
                  <c:v>1842.4250764525993</c:v>
                </c:pt>
                <c:pt idx="16">
                  <c:v>1934.7278287461775</c:v>
                </c:pt>
                <c:pt idx="17">
                  <c:v>2028.3180428134556</c:v>
                </c:pt>
                <c:pt idx="18">
                  <c:v>2123.9143730886849</c:v>
                </c:pt>
                <c:pt idx="19">
                  <c:v>2208.5076452599387</c:v>
                </c:pt>
                <c:pt idx="20">
                  <c:v>2362.4587155963304</c:v>
                </c:pt>
                <c:pt idx="21">
                  <c:v>2445.6177370030582</c:v>
                </c:pt>
                <c:pt idx="22">
                  <c:v>2528.8562691131497</c:v>
                </c:pt>
                <c:pt idx="23">
                  <c:v>2627.8837920489295</c:v>
                </c:pt>
                <c:pt idx="24">
                  <c:v>2724.2079510703365</c:v>
                </c:pt>
                <c:pt idx="25">
                  <c:v>2850.8929663608565</c:v>
                </c:pt>
                <c:pt idx="26">
                  <c:v>3000.4097859327217</c:v>
                </c:pt>
                <c:pt idx="27">
                  <c:v>3075.2048929663611</c:v>
                </c:pt>
                <c:pt idx="28">
                  <c:v>3209.2691131498473</c:v>
                </c:pt>
                <c:pt idx="29">
                  <c:v>3302.1100917431195</c:v>
                </c:pt>
                <c:pt idx="30">
                  <c:v>3412.2966360856267</c:v>
                </c:pt>
                <c:pt idx="31">
                  <c:v>3523.9388379204893</c:v>
                </c:pt>
                <c:pt idx="32">
                  <c:v>3692.8195718654433</c:v>
                </c:pt>
                <c:pt idx="33">
                  <c:v>3751.1100917431195</c:v>
                </c:pt>
                <c:pt idx="34">
                  <c:v>3839.8654434250766</c:v>
                </c:pt>
                <c:pt idx="35">
                  <c:v>3937.2874617737002</c:v>
                </c:pt>
                <c:pt idx="36">
                  <c:v>4014.006116207951</c:v>
                </c:pt>
                <c:pt idx="37">
                  <c:v>4103.3455657492359</c:v>
                </c:pt>
                <c:pt idx="38">
                  <c:v>4221.3700305810398</c:v>
                </c:pt>
                <c:pt idx="39">
                  <c:v>4288.3027522935781</c:v>
                </c:pt>
                <c:pt idx="40">
                  <c:v>4381.1651376146792</c:v>
                </c:pt>
                <c:pt idx="41">
                  <c:v>4425.6422018348621</c:v>
                </c:pt>
                <c:pt idx="42">
                  <c:v>4510.1100917431195</c:v>
                </c:pt>
                <c:pt idx="43">
                  <c:v>4593.3180428134556</c:v>
                </c:pt>
                <c:pt idx="44">
                  <c:v>4718.8073394495414</c:v>
                </c:pt>
                <c:pt idx="45">
                  <c:v>4788.7492354740061</c:v>
                </c:pt>
                <c:pt idx="46">
                  <c:v>4839.0611620795107</c:v>
                </c:pt>
                <c:pt idx="47">
                  <c:v>4900.6024464831808</c:v>
                </c:pt>
                <c:pt idx="48">
                  <c:v>5007.9021406727825</c:v>
                </c:pt>
                <c:pt idx="49">
                  <c:v>5078.0764525993882</c:v>
                </c:pt>
                <c:pt idx="50">
                  <c:v>5200.4311926605506</c:v>
                </c:pt>
                <c:pt idx="51">
                  <c:v>5252.452599388379</c:v>
                </c:pt>
                <c:pt idx="52">
                  <c:v>5319.2385321100919</c:v>
                </c:pt>
                <c:pt idx="53">
                  <c:v>5384.7584097859326</c:v>
                </c:pt>
                <c:pt idx="54">
                  <c:v>5462.1284403669724</c:v>
                </c:pt>
                <c:pt idx="55">
                  <c:v>5534.8165137614678</c:v>
                </c:pt>
                <c:pt idx="56">
                  <c:v>5653.2629969418958</c:v>
                </c:pt>
                <c:pt idx="57">
                  <c:v>5727.8562691131501</c:v>
                </c:pt>
                <c:pt idx="58">
                  <c:v>5795.547400611621</c:v>
                </c:pt>
                <c:pt idx="59">
                  <c:v>5864.6819571865444</c:v>
                </c:pt>
                <c:pt idx="60">
                  <c:v>5967.434250764526</c:v>
                </c:pt>
                <c:pt idx="61">
                  <c:v>6060.4984709480123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0-4F6C-A7B2-64F082467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080640"/>
        <c:axId val="157079000"/>
        <c:extLst/>
      </c:lineChart>
      <c:dateAx>
        <c:axId val="157080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79000"/>
        <c:crosses val="autoZero"/>
        <c:auto val="1"/>
        <c:lblOffset val="100"/>
        <c:baseTimeUnit val="days"/>
      </c:dateAx>
      <c:valAx>
        <c:axId val="15707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Deaths Per</a:t>
            </a:r>
            <a:r>
              <a:rPr lang="en-CA" baseline="0"/>
              <a:t> Million Population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Data'!$B$27</c:f>
              <c:strCache>
                <c:ptCount val="1"/>
                <c:pt idx="0">
                  <c:v>Ontario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 Data'!$C$26:$BL$26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Data'!$C$27:$BL$27</c:f>
              <c:numCache>
                <c:formatCode>0.0</c:formatCode>
                <c:ptCount val="62"/>
                <c:pt idx="0">
                  <c:v>1.2456747404844291</c:v>
                </c:pt>
                <c:pt idx="1">
                  <c:v>1.453287197231834</c:v>
                </c:pt>
                <c:pt idx="2">
                  <c:v>2.2837370242214532</c:v>
                </c:pt>
                <c:pt idx="3">
                  <c:v>2.2837370242214532</c:v>
                </c:pt>
                <c:pt idx="4">
                  <c:v>2.5605536332179932</c:v>
                </c:pt>
                <c:pt idx="5">
                  <c:v>3.6678200692041525</c:v>
                </c:pt>
                <c:pt idx="6">
                  <c:v>4.6366782006920415</c:v>
                </c:pt>
                <c:pt idx="7">
                  <c:v>6.5051903114186853</c:v>
                </c:pt>
                <c:pt idx="8">
                  <c:v>9.1349480968858128</c:v>
                </c:pt>
                <c:pt idx="9">
                  <c:v>10.588235294117647</c:v>
                </c:pt>
                <c:pt idx="10">
                  <c:v>12.041522491349481</c:v>
                </c:pt>
                <c:pt idx="11">
                  <c:v>13.84083044982699</c:v>
                </c:pt>
                <c:pt idx="12">
                  <c:v>15.363321799307959</c:v>
                </c:pt>
                <c:pt idx="13">
                  <c:v>17.508650519031143</c:v>
                </c:pt>
                <c:pt idx="14">
                  <c:v>20.13840830449827</c:v>
                </c:pt>
                <c:pt idx="15">
                  <c:v>23.114186851211073</c:v>
                </c:pt>
                <c:pt idx="16">
                  <c:v>26.643598615916957</c:v>
                </c:pt>
                <c:pt idx="17">
                  <c:v>29.273356401384085</c:v>
                </c:pt>
                <c:pt idx="18">
                  <c:v>33.079584775086509</c:v>
                </c:pt>
                <c:pt idx="19">
                  <c:v>35.570934256055367</c:v>
                </c:pt>
                <c:pt idx="20">
                  <c:v>40.415224913494811</c:v>
                </c:pt>
                <c:pt idx="21">
                  <c:v>43.044982698961938</c:v>
                </c:pt>
                <c:pt idx="22">
                  <c:v>45.605536332179931</c:v>
                </c:pt>
                <c:pt idx="23">
                  <c:v>49.34256055363322</c:v>
                </c:pt>
                <c:pt idx="24">
                  <c:v>52.802768166089969</c:v>
                </c:pt>
                <c:pt idx="25">
                  <c:v>56.124567474048447</c:v>
                </c:pt>
                <c:pt idx="26">
                  <c:v>61.730103806228378</c:v>
                </c:pt>
                <c:pt idx="27">
                  <c:v>65.813148788927336</c:v>
                </c:pt>
                <c:pt idx="28">
                  <c:v>68.927335640138409</c:v>
                </c:pt>
                <c:pt idx="29">
                  <c:v>74.878892733564015</c:v>
                </c:pt>
                <c:pt idx="30">
                  <c:v>77.577854671280278</c:v>
                </c:pt>
                <c:pt idx="31">
                  <c:v>81.384083044982702</c:v>
                </c:pt>
                <c:pt idx="32">
                  <c:v>89.965397923875443</c:v>
                </c:pt>
                <c:pt idx="33">
                  <c:v>94.186851211072664</c:v>
                </c:pt>
                <c:pt idx="34">
                  <c:v>98.892733564013852</c:v>
                </c:pt>
                <c:pt idx="35">
                  <c:v>102.21453287197232</c:v>
                </c:pt>
                <c:pt idx="36">
                  <c:v>106.57439446366783</c:v>
                </c:pt>
                <c:pt idx="37">
                  <c:v>110.65743944636679</c:v>
                </c:pt>
                <c:pt idx="38">
                  <c:v>115.50173010380624</c:v>
                </c:pt>
                <c:pt idx="39">
                  <c:v>119.37716262975779</c:v>
                </c:pt>
                <c:pt idx="40">
                  <c:v>122.1453287197232</c:v>
                </c:pt>
                <c:pt idx="41">
                  <c:v>124.42906574394465</c:v>
                </c:pt>
                <c:pt idx="42">
                  <c:v>126.29757785467129</c:v>
                </c:pt>
                <c:pt idx="43">
                  <c:v>128.58131487889273</c:v>
                </c:pt>
                <c:pt idx="44">
                  <c:v>131.76470588235296</c:v>
                </c:pt>
                <c:pt idx="45">
                  <c:v>132.80276816608998</c:v>
                </c:pt>
                <c:pt idx="46">
                  <c:v>135.77854671280278</c:v>
                </c:pt>
                <c:pt idx="47">
                  <c:v>137.92387543252596</c:v>
                </c:pt>
                <c:pt idx="48">
                  <c:v>139.86159169550174</c:v>
                </c:pt>
                <c:pt idx="49">
                  <c:v>141.73010380622839</c:v>
                </c:pt>
                <c:pt idx="50">
                  <c:v>145.46712802768167</c:v>
                </c:pt>
                <c:pt idx="51">
                  <c:v>146.92041522491351</c:v>
                </c:pt>
                <c:pt idx="52">
                  <c:v>149.13494809688581</c:v>
                </c:pt>
                <c:pt idx="53">
                  <c:v>151.48788927335642</c:v>
                </c:pt>
                <c:pt idx="54">
                  <c:v>154.32525951557093</c:v>
                </c:pt>
                <c:pt idx="55">
                  <c:v>155.50173010380624</c:v>
                </c:pt>
                <c:pt idx="56">
                  <c:v>157.50865051903114</c:v>
                </c:pt>
                <c:pt idx="57">
                  <c:v>158.68512110726644</c:v>
                </c:pt>
                <c:pt idx="58">
                  <c:v>160</c:v>
                </c:pt>
                <c:pt idx="59">
                  <c:v>163.11418685121109</c:v>
                </c:pt>
                <c:pt idx="60">
                  <c:v>164.15224913494811</c:v>
                </c:pt>
                <c:pt idx="61">
                  <c:v>166.57439446366783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0-47F3-A170-1F40280F6D36}"/>
            </c:ext>
          </c:extLst>
        </c:ser>
        <c:ser>
          <c:idx val="1"/>
          <c:order val="1"/>
          <c:tx>
            <c:strRef>
              <c:f>'Graph Data'!$B$28</c:f>
              <c:strCache>
                <c:ptCount val="1"/>
                <c:pt idx="0">
                  <c:v>Quebec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 Data'!$C$26:$BL$26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Data'!$C$28:$BL$28</c:f>
              <c:numCache>
                <c:formatCode>0.0</c:formatCode>
                <c:ptCount val="62"/>
                <c:pt idx="0">
                  <c:v>2.1352313167259789</c:v>
                </c:pt>
                <c:pt idx="1">
                  <c:v>2.6097271648873073</c:v>
                </c:pt>
                <c:pt idx="2">
                  <c:v>2.9655990510083039</c:v>
                </c:pt>
                <c:pt idx="3">
                  <c:v>3.6773428232502967</c:v>
                </c:pt>
                <c:pt idx="4">
                  <c:v>3.9145907473309611</c:v>
                </c:pt>
                <c:pt idx="5">
                  <c:v>4.2704626334519578</c:v>
                </c:pt>
                <c:pt idx="6">
                  <c:v>7.2360616844602612</c:v>
                </c:pt>
                <c:pt idx="7">
                  <c:v>8.8967971530249113</c:v>
                </c:pt>
                <c:pt idx="8">
                  <c:v>14.353499406880191</c:v>
                </c:pt>
                <c:pt idx="9">
                  <c:v>17.793594306049823</c:v>
                </c:pt>
                <c:pt idx="10">
                  <c:v>20.759193357058127</c:v>
                </c:pt>
                <c:pt idx="11">
                  <c:v>25.622775800711743</c:v>
                </c:pt>
                <c:pt idx="12">
                  <c:v>28.588374851720047</c:v>
                </c:pt>
                <c:pt idx="13">
                  <c:v>34.282325029655993</c:v>
                </c:pt>
                <c:pt idx="14">
                  <c:v>42.704626334519574</c:v>
                </c:pt>
                <c:pt idx="15">
                  <c:v>51.601423487544487</c:v>
                </c:pt>
                <c:pt idx="16">
                  <c:v>57.769869513641758</c:v>
                </c:pt>
                <c:pt idx="17">
                  <c:v>74.733096085409258</c:v>
                </c:pt>
                <c:pt idx="18">
                  <c:v>81.613285883748517</c:v>
                </c:pt>
                <c:pt idx="19">
                  <c:v>95.492289442467381</c:v>
                </c:pt>
                <c:pt idx="20">
                  <c:v>111.38790035587189</c:v>
                </c:pt>
                <c:pt idx="21">
                  <c:v>123.48754448398577</c:v>
                </c:pt>
                <c:pt idx="22">
                  <c:v>134.51957295373666</c:v>
                </c:pt>
                <c:pt idx="23">
                  <c:v>147.44958481613287</c:v>
                </c:pt>
                <c:pt idx="24">
                  <c:v>158.95610913404508</c:v>
                </c:pt>
                <c:pt idx="25">
                  <c:v>171.53024911032028</c:v>
                </c:pt>
                <c:pt idx="26">
                  <c:v>189.6797153024911</c:v>
                </c:pt>
                <c:pt idx="27">
                  <c:v>199.52550415183867</c:v>
                </c:pt>
                <c:pt idx="28">
                  <c:v>208.89679715302492</c:v>
                </c:pt>
                <c:pt idx="29">
                  <c:v>220.52194543297747</c:v>
                </c:pt>
                <c:pt idx="30">
                  <c:v>239.85765124555161</c:v>
                </c:pt>
                <c:pt idx="31">
                  <c:v>253.38078291814946</c:v>
                </c:pt>
                <c:pt idx="32">
                  <c:v>270.46263345195729</c:v>
                </c:pt>
                <c:pt idx="33">
                  <c:v>284.46026097271653</c:v>
                </c:pt>
                <c:pt idx="34">
                  <c:v>297.74614472123369</c:v>
                </c:pt>
                <c:pt idx="35">
                  <c:v>312.09964412811388</c:v>
                </c:pt>
                <c:pt idx="36">
                  <c:v>323.25029655990511</c:v>
                </c:pt>
                <c:pt idx="37">
                  <c:v>330.48635824436536</c:v>
                </c:pt>
                <c:pt idx="38">
                  <c:v>357.41399762752076</c:v>
                </c:pt>
                <c:pt idx="39">
                  <c:v>371.41162514827994</c:v>
                </c:pt>
                <c:pt idx="40">
                  <c:v>381.96915776986953</c:v>
                </c:pt>
                <c:pt idx="41">
                  <c:v>397.50889679715306</c:v>
                </c:pt>
                <c:pt idx="42">
                  <c:v>403.44009489916965</c:v>
                </c:pt>
                <c:pt idx="43">
                  <c:v>413.1672597864769</c:v>
                </c:pt>
                <c:pt idx="44">
                  <c:v>426.57176749703444</c:v>
                </c:pt>
                <c:pt idx="45">
                  <c:v>432.62158956109135</c:v>
                </c:pt>
                <c:pt idx="46">
                  <c:v>441.04389086595495</c:v>
                </c:pt>
                <c:pt idx="47">
                  <c:v>450.77105575326215</c:v>
                </c:pt>
                <c:pt idx="48">
                  <c:v>458.48161328588378</c:v>
                </c:pt>
                <c:pt idx="49">
                  <c:v>467.3784104389087</c:v>
                </c:pt>
                <c:pt idx="50">
                  <c:v>482.68090154211154</c:v>
                </c:pt>
                <c:pt idx="51">
                  <c:v>490.98457888493476</c:v>
                </c:pt>
                <c:pt idx="52">
                  <c:v>501.54211150652435</c:v>
                </c:pt>
                <c:pt idx="53">
                  <c:v>510.3202846975089</c:v>
                </c:pt>
                <c:pt idx="54">
                  <c:v>517.55634638196921</c:v>
                </c:pt>
                <c:pt idx="55">
                  <c:v>526.57176749703444</c:v>
                </c:pt>
                <c:pt idx="56">
                  <c:v>552.90628706998814</c:v>
                </c:pt>
                <c:pt idx="57">
                  <c:v>559.07473309608542</c:v>
                </c:pt>
                <c:pt idx="58">
                  <c:v>568.6832740213523</c:v>
                </c:pt>
                <c:pt idx="59">
                  <c:v>579.47805456702258</c:v>
                </c:pt>
                <c:pt idx="60">
                  <c:v>585.40925266903912</c:v>
                </c:pt>
                <c:pt idx="61">
                  <c:v>589.56109134045084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0-47F3-A170-1F40280F6D36}"/>
            </c:ext>
          </c:extLst>
        </c:ser>
        <c:ser>
          <c:idx val="2"/>
          <c:order val="2"/>
          <c:tx>
            <c:strRef>
              <c:f>'Graph Data'!$B$29</c:f>
              <c:strCache>
                <c:ptCount val="1"/>
                <c:pt idx="0">
                  <c:v>BC</c:v>
                </c:pt>
              </c:strCache>
            </c:strRef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 Data'!$C$26:$BL$26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Data'!$C$29:$BL$29</c:f>
              <c:numCache>
                <c:formatCode>0.0</c:formatCode>
                <c:ptCount val="62"/>
                <c:pt idx="0">
                  <c:v>3.1872509960159365</c:v>
                </c:pt>
                <c:pt idx="1">
                  <c:v>3.3864541832669324</c:v>
                </c:pt>
                <c:pt idx="2">
                  <c:v>3.7848605577689245</c:v>
                </c:pt>
                <c:pt idx="3">
                  <c:v>4.7808764940239046</c:v>
                </c:pt>
                <c:pt idx="4">
                  <c:v>4.9800796812749004</c:v>
                </c:pt>
                <c:pt idx="5">
                  <c:v>6.1752988047808772</c:v>
                </c:pt>
                <c:pt idx="6">
                  <c:v>6.9721115537848615</c:v>
                </c:pt>
                <c:pt idx="7">
                  <c:v>7.569721115537849</c:v>
                </c:pt>
                <c:pt idx="8">
                  <c:v>7.7689243027888457</c:v>
                </c:pt>
                <c:pt idx="9">
                  <c:v>8.56573705179283</c:v>
                </c:pt>
                <c:pt idx="10">
                  <c:v>9.5617529880478092</c:v>
                </c:pt>
                <c:pt idx="11">
                  <c:v>9.9601593625498008</c:v>
                </c:pt>
                <c:pt idx="12">
                  <c:v>10.956175298804782</c:v>
                </c:pt>
                <c:pt idx="13">
                  <c:v>11.553784860557769</c:v>
                </c:pt>
                <c:pt idx="14">
                  <c:v>13.745019920318727</c:v>
                </c:pt>
                <c:pt idx="15">
                  <c:v>14.342629482071715</c:v>
                </c:pt>
                <c:pt idx="16">
                  <c:v>14.940239043824702</c:v>
                </c:pt>
                <c:pt idx="17">
                  <c:v>15.537848605577691</c:v>
                </c:pt>
                <c:pt idx="18">
                  <c:v>15.537848605577691</c:v>
                </c:pt>
                <c:pt idx="19">
                  <c:v>16.135458167330679</c:v>
                </c:pt>
                <c:pt idx="20">
                  <c:v>17.13147410358566</c:v>
                </c:pt>
                <c:pt idx="21">
                  <c:v>17.330677290836654</c:v>
                </c:pt>
                <c:pt idx="22">
                  <c:v>17.928286852589643</c:v>
                </c:pt>
                <c:pt idx="23">
                  <c:v>18.725099601593627</c:v>
                </c:pt>
                <c:pt idx="24">
                  <c:v>19.52191235059761</c:v>
                </c:pt>
                <c:pt idx="25">
                  <c:v>19.920318725099602</c:v>
                </c:pt>
                <c:pt idx="26">
                  <c:v>20.517928286852591</c:v>
                </c:pt>
                <c:pt idx="27">
                  <c:v>20.916334661354583</c:v>
                </c:pt>
                <c:pt idx="28">
                  <c:v>21.713147410358566</c:v>
                </c:pt>
                <c:pt idx="29">
                  <c:v>22.111553784860561</c:v>
                </c:pt>
                <c:pt idx="30">
                  <c:v>22.111553784860561</c:v>
                </c:pt>
                <c:pt idx="31">
                  <c:v>22.310756972111555</c:v>
                </c:pt>
                <c:pt idx="32">
                  <c:v>23.306772908366536</c:v>
                </c:pt>
                <c:pt idx="33">
                  <c:v>24.10358565737052</c:v>
                </c:pt>
                <c:pt idx="34">
                  <c:v>24.701195219123509</c:v>
                </c:pt>
                <c:pt idx="35">
                  <c:v>25.099601593625501</c:v>
                </c:pt>
                <c:pt idx="36">
                  <c:v>25.298804780876495</c:v>
                </c:pt>
                <c:pt idx="37">
                  <c:v>25.69721115537849</c:v>
                </c:pt>
                <c:pt idx="38">
                  <c:v>25.896414342629484</c:v>
                </c:pt>
                <c:pt idx="39">
                  <c:v>26.095617529880482</c:v>
                </c:pt>
                <c:pt idx="40">
                  <c:v>26.294820717131476</c:v>
                </c:pt>
                <c:pt idx="41">
                  <c:v>26.892430278884465</c:v>
                </c:pt>
                <c:pt idx="42">
                  <c:v>27.888446215139446</c:v>
                </c:pt>
                <c:pt idx="43">
                  <c:v>28.08764940239044</c:v>
                </c:pt>
                <c:pt idx="44">
                  <c:v>28.486055776892432</c:v>
                </c:pt>
                <c:pt idx="45">
                  <c:v>29.083665338645421</c:v>
                </c:pt>
                <c:pt idx="46">
                  <c:v>29.68127490039841</c:v>
                </c:pt>
                <c:pt idx="47">
                  <c:v>30.278884462151396</c:v>
                </c:pt>
                <c:pt idx="48">
                  <c:v>30.876494023904385</c:v>
                </c:pt>
                <c:pt idx="49">
                  <c:v>31.274900398406377</c:v>
                </c:pt>
                <c:pt idx="50">
                  <c:v>32.071713147410364</c:v>
                </c:pt>
                <c:pt idx="51">
                  <c:v>32.071713147410364</c:v>
                </c:pt>
                <c:pt idx="52">
                  <c:v>32.270916334661358</c:v>
                </c:pt>
                <c:pt idx="53">
                  <c:v>32.669322709163346</c:v>
                </c:pt>
                <c:pt idx="54">
                  <c:v>32.669322709163346</c:v>
                </c:pt>
                <c:pt idx="55">
                  <c:v>32.669322709163346</c:v>
                </c:pt>
                <c:pt idx="56">
                  <c:v>32.868525896414347</c:v>
                </c:pt>
                <c:pt idx="57">
                  <c:v>32.868525896414347</c:v>
                </c:pt>
                <c:pt idx="58">
                  <c:v>33.067729083665341</c:v>
                </c:pt>
                <c:pt idx="59">
                  <c:v>33.067729083665341</c:v>
                </c:pt>
                <c:pt idx="60">
                  <c:v>33.266932270916335</c:v>
                </c:pt>
                <c:pt idx="61">
                  <c:v>33.266932270916335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50-47F3-A170-1F40280F6D36}"/>
            </c:ext>
          </c:extLst>
        </c:ser>
        <c:ser>
          <c:idx val="3"/>
          <c:order val="3"/>
          <c:tx>
            <c:strRef>
              <c:f>'Graph Data'!$B$30</c:f>
              <c:strCache>
                <c:ptCount val="1"/>
                <c:pt idx="0">
                  <c:v>Alberta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 Data'!$C$26:$BL$26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Data'!$C$30:$BL$30</c:f>
              <c:numCache>
                <c:formatCode>0.0</c:formatCode>
                <c:ptCount val="62"/>
                <c:pt idx="0">
                  <c:v>0.46082949308755761</c:v>
                </c:pt>
                <c:pt idx="1">
                  <c:v>0.46082949308755761</c:v>
                </c:pt>
                <c:pt idx="2">
                  <c:v>1.8433179723502304</c:v>
                </c:pt>
                <c:pt idx="3">
                  <c:v>2.0737327188940093</c:v>
                </c:pt>
                <c:pt idx="4">
                  <c:v>2.5345622119815667</c:v>
                </c:pt>
                <c:pt idx="5">
                  <c:v>2.9953917050691246</c:v>
                </c:pt>
                <c:pt idx="6">
                  <c:v>2.9953917050691246</c:v>
                </c:pt>
                <c:pt idx="7">
                  <c:v>4.6082949308755765</c:v>
                </c:pt>
                <c:pt idx="8">
                  <c:v>5.2995391705069128</c:v>
                </c:pt>
                <c:pt idx="9">
                  <c:v>5.9907834101382491</c:v>
                </c:pt>
                <c:pt idx="10">
                  <c:v>6.6820276497695854</c:v>
                </c:pt>
                <c:pt idx="11">
                  <c:v>7.3732718894009217</c:v>
                </c:pt>
                <c:pt idx="12">
                  <c:v>8.9861751152073737</c:v>
                </c:pt>
                <c:pt idx="13">
                  <c:v>8.9861751152073737</c:v>
                </c:pt>
                <c:pt idx="14">
                  <c:v>10.599078341013826</c:v>
                </c:pt>
                <c:pt idx="15">
                  <c:v>11.059907834101383</c:v>
                </c:pt>
                <c:pt idx="16">
                  <c:v>11.059907834101383</c:v>
                </c:pt>
                <c:pt idx="17">
                  <c:v>11.520737327188941</c:v>
                </c:pt>
                <c:pt idx="18">
                  <c:v>11.520737327188941</c:v>
                </c:pt>
                <c:pt idx="19">
                  <c:v>11.751152073732719</c:v>
                </c:pt>
                <c:pt idx="20">
                  <c:v>13.59447004608295</c:v>
                </c:pt>
                <c:pt idx="21">
                  <c:v>14.055299539170507</c:v>
                </c:pt>
                <c:pt idx="22">
                  <c:v>15.207373271889402</c:v>
                </c:pt>
                <c:pt idx="23">
                  <c:v>15.43778801843318</c:v>
                </c:pt>
                <c:pt idx="24">
                  <c:v>16.589861751152075</c:v>
                </c:pt>
                <c:pt idx="25">
                  <c:v>16.820276497695854</c:v>
                </c:pt>
                <c:pt idx="26">
                  <c:v>17.281105990783409</c:v>
                </c:pt>
                <c:pt idx="27">
                  <c:v>18.433179723502306</c:v>
                </c:pt>
                <c:pt idx="28">
                  <c:v>20.046082949308758</c:v>
                </c:pt>
                <c:pt idx="29">
                  <c:v>20.506912442396313</c:v>
                </c:pt>
                <c:pt idx="30">
                  <c:v>21.198156682027651</c:v>
                </c:pt>
                <c:pt idx="31">
                  <c:v>21.658986175115206</c:v>
                </c:pt>
                <c:pt idx="32">
                  <c:v>23.963133640552996</c:v>
                </c:pt>
                <c:pt idx="33">
                  <c:v>24.423963133640555</c:v>
                </c:pt>
                <c:pt idx="34">
                  <c:v>25.806451612903228</c:v>
                </c:pt>
                <c:pt idx="35">
                  <c:v>26.267281105990783</c:v>
                </c:pt>
                <c:pt idx="36">
                  <c:v>26.497695852534562</c:v>
                </c:pt>
                <c:pt idx="37">
                  <c:v>26.728110599078342</c:v>
                </c:pt>
                <c:pt idx="38">
                  <c:v>26.958525345622121</c:v>
                </c:pt>
                <c:pt idx="39">
                  <c:v>27.1889400921659</c:v>
                </c:pt>
                <c:pt idx="40">
                  <c:v>27.649769585253456</c:v>
                </c:pt>
                <c:pt idx="41">
                  <c:v>27.880184331797235</c:v>
                </c:pt>
                <c:pt idx="42">
                  <c:v>28.801843317972352</c:v>
                </c:pt>
                <c:pt idx="43">
                  <c:v>29.032258064516132</c:v>
                </c:pt>
                <c:pt idx="44">
                  <c:v>29.493087557603687</c:v>
                </c:pt>
                <c:pt idx="45">
                  <c:v>29.493087557603687</c:v>
                </c:pt>
                <c:pt idx="46">
                  <c:v>29.493087557603687</c:v>
                </c:pt>
                <c:pt idx="47">
                  <c:v>30.414746543778804</c:v>
                </c:pt>
                <c:pt idx="48">
                  <c:v>30.875576036866359</c:v>
                </c:pt>
                <c:pt idx="49">
                  <c:v>31.105990783410139</c:v>
                </c:pt>
                <c:pt idx="50">
                  <c:v>31.797235023041477</c:v>
                </c:pt>
                <c:pt idx="51">
                  <c:v>32.027649769585253</c:v>
                </c:pt>
                <c:pt idx="52">
                  <c:v>32.488479262672811</c:v>
                </c:pt>
                <c:pt idx="53">
                  <c:v>32.94930875576037</c:v>
                </c:pt>
                <c:pt idx="54">
                  <c:v>32.94930875576037</c:v>
                </c:pt>
                <c:pt idx="55">
                  <c:v>32.94930875576037</c:v>
                </c:pt>
                <c:pt idx="56">
                  <c:v>32.94930875576037</c:v>
                </c:pt>
                <c:pt idx="57">
                  <c:v>32.94930875576037</c:v>
                </c:pt>
                <c:pt idx="58">
                  <c:v>33.410138248847929</c:v>
                </c:pt>
                <c:pt idx="59">
                  <c:v>33.640552995391708</c:v>
                </c:pt>
                <c:pt idx="60">
                  <c:v>33.640552995391708</c:v>
                </c:pt>
                <c:pt idx="61">
                  <c:v>33.640552995391708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50-47F3-A170-1F40280F6D36}"/>
            </c:ext>
          </c:extLst>
        </c:ser>
        <c:ser>
          <c:idx val="4"/>
          <c:order val="4"/>
          <c:tx>
            <c:strRef>
              <c:f>'Graph Data'!$B$31</c:f>
              <c:strCache>
                <c:ptCount val="1"/>
                <c:pt idx="0">
                  <c:v>Manitoba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'Graph Data'!$C$26:$BL$26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Data'!$C$31:$BL$31</c:f>
              <c:numCache>
                <c:formatCode>0.0</c:formatCode>
                <c:ptCount val="62"/>
                <c:pt idx="0">
                  <c:v>0.73529411764705876</c:v>
                </c:pt>
                <c:pt idx="1">
                  <c:v>0.73529411764705876</c:v>
                </c:pt>
                <c:pt idx="2">
                  <c:v>0.73529411764705876</c:v>
                </c:pt>
                <c:pt idx="3">
                  <c:v>0.73529411764705876</c:v>
                </c:pt>
                <c:pt idx="4">
                  <c:v>0.73529411764705876</c:v>
                </c:pt>
                <c:pt idx="5">
                  <c:v>0.73529411764705876</c:v>
                </c:pt>
                <c:pt idx="6">
                  <c:v>1.4705882352941175</c:v>
                </c:pt>
                <c:pt idx="7">
                  <c:v>1.4705882352941175</c:v>
                </c:pt>
                <c:pt idx="8">
                  <c:v>1.4705882352941175</c:v>
                </c:pt>
                <c:pt idx="9">
                  <c:v>2.2058823529411762</c:v>
                </c:pt>
                <c:pt idx="10">
                  <c:v>2.2058823529411762</c:v>
                </c:pt>
                <c:pt idx="11">
                  <c:v>2.2058823529411762</c:v>
                </c:pt>
                <c:pt idx="12">
                  <c:v>2.9411764705882351</c:v>
                </c:pt>
                <c:pt idx="13">
                  <c:v>2.9411764705882351</c:v>
                </c:pt>
                <c:pt idx="14">
                  <c:v>2.9411764705882351</c:v>
                </c:pt>
                <c:pt idx="15">
                  <c:v>2.9411764705882351</c:v>
                </c:pt>
                <c:pt idx="16">
                  <c:v>3.6764705882352939</c:v>
                </c:pt>
                <c:pt idx="17">
                  <c:v>3.6764705882352939</c:v>
                </c:pt>
                <c:pt idx="18">
                  <c:v>3.6764705882352939</c:v>
                </c:pt>
                <c:pt idx="19">
                  <c:v>3.6764705882352939</c:v>
                </c:pt>
                <c:pt idx="20">
                  <c:v>4.4117647058823524</c:v>
                </c:pt>
                <c:pt idx="21">
                  <c:v>4.4117647058823524</c:v>
                </c:pt>
                <c:pt idx="22">
                  <c:v>4.4117647058823524</c:v>
                </c:pt>
                <c:pt idx="23">
                  <c:v>4.4117647058823524</c:v>
                </c:pt>
                <c:pt idx="24">
                  <c:v>4.4117647058823524</c:v>
                </c:pt>
                <c:pt idx="25">
                  <c:v>4.4117647058823524</c:v>
                </c:pt>
                <c:pt idx="26">
                  <c:v>4.4117647058823524</c:v>
                </c:pt>
                <c:pt idx="27">
                  <c:v>4.4117647058823524</c:v>
                </c:pt>
                <c:pt idx="28">
                  <c:v>4.4117647058823524</c:v>
                </c:pt>
                <c:pt idx="29">
                  <c:v>4.4117647058823524</c:v>
                </c:pt>
                <c:pt idx="30">
                  <c:v>4.4117647058823524</c:v>
                </c:pt>
                <c:pt idx="31">
                  <c:v>4.4117647058823524</c:v>
                </c:pt>
                <c:pt idx="32">
                  <c:v>4.4117647058823524</c:v>
                </c:pt>
                <c:pt idx="33">
                  <c:v>5.1470588235294112</c:v>
                </c:pt>
                <c:pt idx="34">
                  <c:v>5.1470588235294112</c:v>
                </c:pt>
                <c:pt idx="35">
                  <c:v>5.1470588235294112</c:v>
                </c:pt>
                <c:pt idx="36">
                  <c:v>5.1470588235294112</c:v>
                </c:pt>
                <c:pt idx="37">
                  <c:v>5.1470588235294112</c:v>
                </c:pt>
                <c:pt idx="38">
                  <c:v>5.1470588235294112</c:v>
                </c:pt>
                <c:pt idx="39">
                  <c:v>5.1470588235294112</c:v>
                </c:pt>
                <c:pt idx="40">
                  <c:v>5.1470588235294112</c:v>
                </c:pt>
                <c:pt idx="41">
                  <c:v>5.1470588235294112</c:v>
                </c:pt>
                <c:pt idx="42">
                  <c:v>5.1470588235294112</c:v>
                </c:pt>
                <c:pt idx="43">
                  <c:v>5.1470588235294112</c:v>
                </c:pt>
                <c:pt idx="44">
                  <c:v>5.1470588235294112</c:v>
                </c:pt>
                <c:pt idx="45">
                  <c:v>5.1470588235294112</c:v>
                </c:pt>
                <c:pt idx="46">
                  <c:v>5.1470588235294112</c:v>
                </c:pt>
                <c:pt idx="47">
                  <c:v>5.1470588235294112</c:v>
                </c:pt>
                <c:pt idx="48">
                  <c:v>5.1470588235294112</c:v>
                </c:pt>
                <c:pt idx="49">
                  <c:v>5.1470588235294112</c:v>
                </c:pt>
                <c:pt idx="50">
                  <c:v>5.1470588235294112</c:v>
                </c:pt>
                <c:pt idx="51">
                  <c:v>5.1470588235294112</c:v>
                </c:pt>
                <c:pt idx="52">
                  <c:v>5.1470588235294112</c:v>
                </c:pt>
                <c:pt idx="53">
                  <c:v>5.1470588235294112</c:v>
                </c:pt>
                <c:pt idx="54">
                  <c:v>5.1470588235294112</c:v>
                </c:pt>
                <c:pt idx="55">
                  <c:v>5.1470588235294112</c:v>
                </c:pt>
                <c:pt idx="56">
                  <c:v>5.1470588235294112</c:v>
                </c:pt>
                <c:pt idx="57">
                  <c:v>5.1470588235294112</c:v>
                </c:pt>
                <c:pt idx="58">
                  <c:v>5.1470588235294112</c:v>
                </c:pt>
                <c:pt idx="59">
                  <c:v>5.1470588235294112</c:v>
                </c:pt>
                <c:pt idx="60">
                  <c:v>5.1470588235294112</c:v>
                </c:pt>
                <c:pt idx="61">
                  <c:v>5.1470588235294112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50-47F3-A170-1F40280F6D36}"/>
            </c:ext>
          </c:extLst>
        </c:ser>
        <c:ser>
          <c:idx val="5"/>
          <c:order val="5"/>
          <c:tx>
            <c:strRef>
              <c:f>'Graph Data'!$B$32</c:f>
              <c:strCache>
                <c:ptCount val="1"/>
                <c:pt idx="0">
                  <c:v>Sask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'Graph Data'!$C$26:$BL$26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Data'!$C$32:$BL$32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1.7094017094017095</c:v>
                </c:pt>
                <c:pt idx="3">
                  <c:v>1.7094017094017095</c:v>
                </c:pt>
                <c:pt idx="4">
                  <c:v>2.5641025641025643</c:v>
                </c:pt>
                <c:pt idx="5">
                  <c:v>2.5641025641025643</c:v>
                </c:pt>
                <c:pt idx="6">
                  <c:v>2.5641025641025643</c:v>
                </c:pt>
                <c:pt idx="7">
                  <c:v>2.5641025641025643</c:v>
                </c:pt>
                <c:pt idx="8">
                  <c:v>2.5641025641025643</c:v>
                </c:pt>
                <c:pt idx="9">
                  <c:v>2.5641025641025643</c:v>
                </c:pt>
                <c:pt idx="10">
                  <c:v>2.5641025641025643</c:v>
                </c:pt>
                <c:pt idx="11">
                  <c:v>2.5641025641025643</c:v>
                </c:pt>
                <c:pt idx="12">
                  <c:v>2.5641025641025643</c:v>
                </c:pt>
                <c:pt idx="13">
                  <c:v>3.4188034188034191</c:v>
                </c:pt>
                <c:pt idx="14">
                  <c:v>3.4188034188034191</c:v>
                </c:pt>
                <c:pt idx="15">
                  <c:v>3.4188034188034191</c:v>
                </c:pt>
                <c:pt idx="16">
                  <c:v>3.4188034188034191</c:v>
                </c:pt>
                <c:pt idx="17">
                  <c:v>3.4188034188034191</c:v>
                </c:pt>
                <c:pt idx="18">
                  <c:v>3.4188034188034191</c:v>
                </c:pt>
                <c:pt idx="19">
                  <c:v>3.4188034188034191</c:v>
                </c:pt>
                <c:pt idx="20">
                  <c:v>3.4188034188034191</c:v>
                </c:pt>
                <c:pt idx="21">
                  <c:v>3.4188034188034191</c:v>
                </c:pt>
                <c:pt idx="22">
                  <c:v>3.4188034188034191</c:v>
                </c:pt>
                <c:pt idx="23">
                  <c:v>3.4188034188034191</c:v>
                </c:pt>
                <c:pt idx="24">
                  <c:v>3.4188034188034191</c:v>
                </c:pt>
                <c:pt idx="25">
                  <c:v>3.4188034188034191</c:v>
                </c:pt>
                <c:pt idx="26">
                  <c:v>4.2735042735042734</c:v>
                </c:pt>
                <c:pt idx="27">
                  <c:v>4.2735042735042734</c:v>
                </c:pt>
                <c:pt idx="28">
                  <c:v>5.1282051282051286</c:v>
                </c:pt>
                <c:pt idx="29">
                  <c:v>5.1282051282051286</c:v>
                </c:pt>
                <c:pt idx="30">
                  <c:v>5.1282051282051286</c:v>
                </c:pt>
                <c:pt idx="31">
                  <c:v>5.1282051282051286</c:v>
                </c:pt>
                <c:pt idx="32">
                  <c:v>5.1282051282051286</c:v>
                </c:pt>
                <c:pt idx="33">
                  <c:v>5.1282051282051286</c:v>
                </c:pt>
                <c:pt idx="34">
                  <c:v>5.1282051282051286</c:v>
                </c:pt>
                <c:pt idx="35">
                  <c:v>5.1282051282051286</c:v>
                </c:pt>
                <c:pt idx="36">
                  <c:v>5.1282051282051286</c:v>
                </c:pt>
                <c:pt idx="37">
                  <c:v>5.1282051282051286</c:v>
                </c:pt>
                <c:pt idx="38">
                  <c:v>5.1282051282051286</c:v>
                </c:pt>
                <c:pt idx="39">
                  <c:v>5.1282051282051286</c:v>
                </c:pt>
                <c:pt idx="40">
                  <c:v>5.1282051282051286</c:v>
                </c:pt>
                <c:pt idx="41">
                  <c:v>5.1282051282051286</c:v>
                </c:pt>
                <c:pt idx="42">
                  <c:v>5.1282051282051286</c:v>
                </c:pt>
                <c:pt idx="43">
                  <c:v>5.1282051282051286</c:v>
                </c:pt>
                <c:pt idx="44">
                  <c:v>5.1282051282051286</c:v>
                </c:pt>
                <c:pt idx="45">
                  <c:v>5.1282051282051286</c:v>
                </c:pt>
                <c:pt idx="46">
                  <c:v>5.982905982905983</c:v>
                </c:pt>
                <c:pt idx="47">
                  <c:v>5.982905982905983</c:v>
                </c:pt>
                <c:pt idx="48">
                  <c:v>5.982905982905983</c:v>
                </c:pt>
                <c:pt idx="49">
                  <c:v>5.982905982905983</c:v>
                </c:pt>
                <c:pt idx="50">
                  <c:v>5.982905982905983</c:v>
                </c:pt>
                <c:pt idx="51">
                  <c:v>6.8376068376068382</c:v>
                </c:pt>
                <c:pt idx="52">
                  <c:v>8.5470085470085468</c:v>
                </c:pt>
                <c:pt idx="53">
                  <c:v>8.5470085470085468</c:v>
                </c:pt>
                <c:pt idx="54">
                  <c:v>8.5470085470085468</c:v>
                </c:pt>
                <c:pt idx="55">
                  <c:v>8.5470085470085468</c:v>
                </c:pt>
                <c:pt idx="56">
                  <c:v>9.4017094017094021</c:v>
                </c:pt>
                <c:pt idx="57">
                  <c:v>9.4017094017094021</c:v>
                </c:pt>
                <c:pt idx="58">
                  <c:v>9.4017094017094021</c:v>
                </c:pt>
                <c:pt idx="59">
                  <c:v>9.4017094017094021</c:v>
                </c:pt>
                <c:pt idx="60">
                  <c:v>9.4017094017094021</c:v>
                </c:pt>
                <c:pt idx="61">
                  <c:v>9.4017094017094021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50-47F3-A170-1F40280F6D36}"/>
            </c:ext>
          </c:extLst>
        </c:ser>
        <c:ser>
          <c:idx val="6"/>
          <c:order val="6"/>
          <c:tx>
            <c:strRef>
              <c:f>'Graph Data'!$B$33</c:f>
              <c:strCache>
                <c:ptCount val="1"/>
                <c:pt idx="0">
                  <c:v>Maritimes</c:v>
                </c:pt>
              </c:strCache>
            </c:strRef>
          </c:tx>
          <c:spPr>
            <a:ln w="381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 Data'!$C$26:$BL$26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Data'!$C$33:$BL$33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0.52882072977260708</c:v>
                </c:pt>
                <c:pt idx="10">
                  <c:v>0.52882072977260708</c:v>
                </c:pt>
                <c:pt idx="11">
                  <c:v>1.0576414595452142</c:v>
                </c:pt>
                <c:pt idx="12">
                  <c:v>1.0576414595452142</c:v>
                </c:pt>
                <c:pt idx="13">
                  <c:v>1.0576414595452142</c:v>
                </c:pt>
                <c:pt idx="14">
                  <c:v>1.5864621893178212</c:v>
                </c:pt>
                <c:pt idx="15">
                  <c:v>1.5864621893178212</c:v>
                </c:pt>
                <c:pt idx="16">
                  <c:v>1.5864621893178212</c:v>
                </c:pt>
                <c:pt idx="17">
                  <c:v>1.5864621893178212</c:v>
                </c:pt>
                <c:pt idx="18">
                  <c:v>2.1152829190904283</c:v>
                </c:pt>
                <c:pt idx="19">
                  <c:v>3.7017451084082498</c:v>
                </c:pt>
                <c:pt idx="20">
                  <c:v>4.7593865679534639</c:v>
                </c:pt>
                <c:pt idx="21">
                  <c:v>5.2882072977260712</c:v>
                </c:pt>
                <c:pt idx="22">
                  <c:v>6.3458487572712849</c:v>
                </c:pt>
                <c:pt idx="23">
                  <c:v>8.4611316763617133</c:v>
                </c:pt>
                <c:pt idx="24">
                  <c:v>8.4611316763617133</c:v>
                </c:pt>
                <c:pt idx="25">
                  <c:v>11.634056054997355</c:v>
                </c:pt>
                <c:pt idx="26">
                  <c:v>12.69169751454257</c:v>
                </c:pt>
                <c:pt idx="27">
                  <c:v>14.278159703860391</c:v>
                </c:pt>
                <c:pt idx="28">
                  <c:v>14.806980433632999</c:v>
                </c:pt>
                <c:pt idx="29">
                  <c:v>14.806980433632999</c:v>
                </c:pt>
                <c:pt idx="30">
                  <c:v>15.335801163405606</c:v>
                </c:pt>
                <c:pt idx="31">
                  <c:v>16.393442622950818</c:v>
                </c:pt>
                <c:pt idx="32">
                  <c:v>20.095187731359069</c:v>
                </c:pt>
                <c:pt idx="33">
                  <c:v>21.68164992067689</c:v>
                </c:pt>
                <c:pt idx="34">
                  <c:v>21.68164992067689</c:v>
                </c:pt>
                <c:pt idx="35">
                  <c:v>23.268112109994711</c:v>
                </c:pt>
                <c:pt idx="36">
                  <c:v>24.325753569539927</c:v>
                </c:pt>
                <c:pt idx="37">
                  <c:v>24.854574299312532</c:v>
                </c:pt>
                <c:pt idx="38">
                  <c:v>25.38339502908514</c:v>
                </c:pt>
                <c:pt idx="39">
                  <c:v>25.38339502908514</c:v>
                </c:pt>
                <c:pt idx="40">
                  <c:v>26.969857218402961</c:v>
                </c:pt>
                <c:pt idx="41">
                  <c:v>26.969857218402961</c:v>
                </c:pt>
                <c:pt idx="42">
                  <c:v>29.08514013749339</c:v>
                </c:pt>
                <c:pt idx="43">
                  <c:v>29.08514013749339</c:v>
                </c:pt>
                <c:pt idx="44">
                  <c:v>29.08514013749339</c:v>
                </c:pt>
                <c:pt idx="45">
                  <c:v>29.613960867265998</c:v>
                </c:pt>
                <c:pt idx="46">
                  <c:v>30.142781597038603</c:v>
                </c:pt>
                <c:pt idx="47">
                  <c:v>30.671602326811211</c:v>
                </c:pt>
                <c:pt idx="48">
                  <c:v>30.671602326811211</c:v>
                </c:pt>
                <c:pt idx="49">
                  <c:v>30.671602326811211</c:v>
                </c:pt>
                <c:pt idx="50">
                  <c:v>30.671602326811211</c:v>
                </c:pt>
                <c:pt idx="51">
                  <c:v>31.200423056583819</c:v>
                </c:pt>
                <c:pt idx="52">
                  <c:v>31.200423056583819</c:v>
                </c:pt>
                <c:pt idx="53">
                  <c:v>31.200423056583819</c:v>
                </c:pt>
                <c:pt idx="54">
                  <c:v>31.200423056583819</c:v>
                </c:pt>
                <c:pt idx="55">
                  <c:v>31.729243786356424</c:v>
                </c:pt>
                <c:pt idx="56">
                  <c:v>31.729243786356424</c:v>
                </c:pt>
                <c:pt idx="57">
                  <c:v>31.729243786356424</c:v>
                </c:pt>
                <c:pt idx="58">
                  <c:v>31.729243786356424</c:v>
                </c:pt>
                <c:pt idx="59">
                  <c:v>32.786885245901637</c:v>
                </c:pt>
                <c:pt idx="60">
                  <c:v>32.786885245901637</c:v>
                </c:pt>
                <c:pt idx="61">
                  <c:v>32.786885245901637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50-47F3-A170-1F40280F6D36}"/>
            </c:ext>
          </c:extLst>
        </c:ser>
        <c:ser>
          <c:idx val="9"/>
          <c:order val="7"/>
          <c:tx>
            <c:strRef>
              <c:f>'Graph Data'!$B$34</c:f>
              <c:strCache>
                <c:ptCount val="1"/>
                <c:pt idx="0">
                  <c:v>NFLD</c:v>
                </c:pt>
              </c:strCache>
            </c:strRef>
          </c:tx>
          <c:spPr>
            <a:ln w="381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 Data'!$C$26:$BL$26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Data'!$C$34:$BL$34</c:f>
              <c:numCache>
                <c:formatCode>0.0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1.9083969465648853</c:v>
                </c:pt>
                <c:pt idx="4">
                  <c:v>1.9083969465648853</c:v>
                </c:pt>
                <c:pt idx="5">
                  <c:v>1.9083969465648853</c:v>
                </c:pt>
                <c:pt idx="6">
                  <c:v>1.9083969465648853</c:v>
                </c:pt>
                <c:pt idx="7">
                  <c:v>1.9083969465648853</c:v>
                </c:pt>
                <c:pt idx="8">
                  <c:v>3.8167938931297707</c:v>
                </c:pt>
                <c:pt idx="9">
                  <c:v>3.8167938931297707</c:v>
                </c:pt>
                <c:pt idx="10">
                  <c:v>3.8167938931297707</c:v>
                </c:pt>
                <c:pt idx="11">
                  <c:v>3.8167938931297707</c:v>
                </c:pt>
                <c:pt idx="12">
                  <c:v>3.8167938931297707</c:v>
                </c:pt>
                <c:pt idx="13">
                  <c:v>3.8167938931297707</c:v>
                </c:pt>
                <c:pt idx="14">
                  <c:v>3.8167938931297707</c:v>
                </c:pt>
                <c:pt idx="15">
                  <c:v>5.7251908396946565</c:v>
                </c:pt>
                <c:pt idx="16">
                  <c:v>5.7251908396946565</c:v>
                </c:pt>
                <c:pt idx="17">
                  <c:v>5.7251908396946565</c:v>
                </c:pt>
                <c:pt idx="18">
                  <c:v>5.7251908396946565</c:v>
                </c:pt>
                <c:pt idx="19">
                  <c:v>5.7251908396946565</c:v>
                </c:pt>
                <c:pt idx="20">
                  <c:v>5.7251908396946565</c:v>
                </c:pt>
                <c:pt idx="21">
                  <c:v>5.7251908396946565</c:v>
                </c:pt>
                <c:pt idx="22">
                  <c:v>5.7251908396946565</c:v>
                </c:pt>
                <c:pt idx="23">
                  <c:v>5.7251908396946565</c:v>
                </c:pt>
                <c:pt idx="24">
                  <c:v>5.7251908396946565</c:v>
                </c:pt>
                <c:pt idx="25">
                  <c:v>5.7251908396946565</c:v>
                </c:pt>
                <c:pt idx="26">
                  <c:v>5.7251908396946565</c:v>
                </c:pt>
                <c:pt idx="27">
                  <c:v>5.7251908396946565</c:v>
                </c:pt>
                <c:pt idx="28">
                  <c:v>5.7251908396946565</c:v>
                </c:pt>
                <c:pt idx="29">
                  <c:v>5.7251908396946565</c:v>
                </c:pt>
                <c:pt idx="30">
                  <c:v>5.7251908396946565</c:v>
                </c:pt>
                <c:pt idx="31">
                  <c:v>5.7251908396946565</c:v>
                </c:pt>
                <c:pt idx="32">
                  <c:v>5.7251908396946565</c:v>
                </c:pt>
                <c:pt idx="33">
                  <c:v>5.7251908396946565</c:v>
                </c:pt>
                <c:pt idx="34">
                  <c:v>5.7251908396946565</c:v>
                </c:pt>
                <c:pt idx="35">
                  <c:v>5.7251908396946565</c:v>
                </c:pt>
                <c:pt idx="36">
                  <c:v>5.7251908396946565</c:v>
                </c:pt>
                <c:pt idx="37">
                  <c:v>5.7251908396946565</c:v>
                </c:pt>
                <c:pt idx="38">
                  <c:v>5.7251908396946565</c:v>
                </c:pt>
                <c:pt idx="39">
                  <c:v>5.7251908396946565</c:v>
                </c:pt>
                <c:pt idx="40">
                  <c:v>5.7251908396946565</c:v>
                </c:pt>
                <c:pt idx="41">
                  <c:v>5.7251908396946565</c:v>
                </c:pt>
                <c:pt idx="42">
                  <c:v>5.7251908396946565</c:v>
                </c:pt>
                <c:pt idx="43">
                  <c:v>5.7251908396946565</c:v>
                </c:pt>
                <c:pt idx="44">
                  <c:v>5.7251908396946565</c:v>
                </c:pt>
                <c:pt idx="45">
                  <c:v>5.7251908396946565</c:v>
                </c:pt>
                <c:pt idx="46">
                  <c:v>5.7251908396946565</c:v>
                </c:pt>
                <c:pt idx="47">
                  <c:v>5.7251908396946565</c:v>
                </c:pt>
                <c:pt idx="48">
                  <c:v>5.7251908396946565</c:v>
                </c:pt>
                <c:pt idx="49">
                  <c:v>5.7251908396946565</c:v>
                </c:pt>
                <c:pt idx="50">
                  <c:v>5.7251908396946565</c:v>
                </c:pt>
                <c:pt idx="51">
                  <c:v>5.7251908396946565</c:v>
                </c:pt>
                <c:pt idx="52">
                  <c:v>5.7251908396946565</c:v>
                </c:pt>
                <c:pt idx="53">
                  <c:v>5.7251908396946565</c:v>
                </c:pt>
                <c:pt idx="54">
                  <c:v>5.7251908396946565</c:v>
                </c:pt>
                <c:pt idx="55">
                  <c:v>5.7251908396946565</c:v>
                </c:pt>
                <c:pt idx="56">
                  <c:v>5.7251908396946565</c:v>
                </c:pt>
                <c:pt idx="57">
                  <c:v>5.7251908396946565</c:v>
                </c:pt>
                <c:pt idx="58">
                  <c:v>5.7251908396946565</c:v>
                </c:pt>
                <c:pt idx="59">
                  <c:v>5.7251908396946565</c:v>
                </c:pt>
                <c:pt idx="60">
                  <c:v>5.7251908396946565</c:v>
                </c:pt>
                <c:pt idx="61">
                  <c:v>5.7251908396946565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450-47F3-A170-1F40280F6D36}"/>
            </c:ext>
          </c:extLst>
        </c:ser>
        <c:ser>
          <c:idx val="10"/>
          <c:order val="8"/>
          <c:tx>
            <c:strRef>
              <c:f>'Graph Data'!$B$35</c:f>
              <c:strCache>
                <c:ptCount val="1"/>
                <c:pt idx="0">
                  <c:v>Canada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 Data'!$C$26:$BL$26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Data'!$C$35:$BL$35</c:f>
              <c:numCache>
                <c:formatCode>0.0</c:formatCode>
                <c:ptCount val="62"/>
                <c:pt idx="0">
                  <c:v>1.4627659574468084</c:v>
                </c:pt>
                <c:pt idx="1">
                  <c:v>1.4627659574468084</c:v>
                </c:pt>
                <c:pt idx="2">
                  <c:v>1.675531914893617</c:v>
                </c:pt>
                <c:pt idx="3">
                  <c:v>2.6861702127659575</c:v>
                </c:pt>
                <c:pt idx="4">
                  <c:v>2.9521276595744679</c:v>
                </c:pt>
                <c:pt idx="5">
                  <c:v>3.6702127659574466</c:v>
                </c:pt>
                <c:pt idx="6">
                  <c:v>4.8404255319148932</c:v>
                </c:pt>
                <c:pt idx="7">
                  <c:v>6.1968085106382977</c:v>
                </c:pt>
                <c:pt idx="8">
                  <c:v>8.5638297872340416</c:v>
                </c:pt>
                <c:pt idx="9">
                  <c:v>10.132978723404255</c:v>
                </c:pt>
                <c:pt idx="10">
                  <c:v>11.569148936170212</c:v>
                </c:pt>
                <c:pt idx="11">
                  <c:v>13.537234042553191</c:v>
                </c:pt>
                <c:pt idx="12">
                  <c:v>15.132978723404255</c:v>
                </c:pt>
                <c:pt idx="13">
                  <c:v>17.367021276595743</c:v>
                </c:pt>
                <c:pt idx="14">
                  <c:v>20.74468085106383</c:v>
                </c:pt>
                <c:pt idx="15">
                  <c:v>23.936170212765955</c:v>
                </c:pt>
                <c:pt idx="16">
                  <c:v>26.861702127659573</c:v>
                </c:pt>
                <c:pt idx="17">
                  <c:v>31.808510638297872</c:v>
                </c:pt>
                <c:pt idx="18">
                  <c:v>34.840425531914889</c:v>
                </c:pt>
                <c:pt idx="19">
                  <c:v>39.095744680851062</c:v>
                </c:pt>
                <c:pt idx="20">
                  <c:v>44.946808510638299</c:v>
                </c:pt>
                <c:pt idx="21">
                  <c:v>48.776595744680847</c:v>
                </c:pt>
                <c:pt idx="22">
                  <c:v>52.5</c:v>
                </c:pt>
                <c:pt idx="23">
                  <c:v>57.101063829787229</c:v>
                </c:pt>
                <c:pt idx="24">
                  <c:v>61.223404255319146</c:v>
                </c:pt>
                <c:pt idx="25">
                  <c:v>65.558510638297875</c:v>
                </c:pt>
                <c:pt idx="26">
                  <c:v>71.994680851063833</c:v>
                </c:pt>
                <c:pt idx="27">
                  <c:v>76.037234042553195</c:v>
                </c:pt>
                <c:pt idx="28">
                  <c:v>79.680851063829778</c:v>
                </c:pt>
                <c:pt idx="29">
                  <c:v>84.680851063829778</c:v>
                </c:pt>
                <c:pt idx="30">
                  <c:v>90.186170212765958</c:v>
                </c:pt>
                <c:pt idx="31">
                  <c:v>94.840425531914889</c:v>
                </c:pt>
                <c:pt idx="32">
                  <c:v>102.5</c:v>
                </c:pt>
                <c:pt idx="33">
                  <c:v>107.52659574468085</c:v>
                </c:pt>
                <c:pt idx="34">
                  <c:v>112.55319148936169</c:v>
                </c:pt>
                <c:pt idx="35">
                  <c:v>117.12765957446808</c:v>
                </c:pt>
                <c:pt idx="36">
                  <c:v>121.5159574468085</c:v>
                </c:pt>
                <c:pt idx="37">
                  <c:v>124.81382978723404</c:v>
                </c:pt>
                <c:pt idx="38">
                  <c:v>132.79255319148936</c:v>
                </c:pt>
                <c:pt idx="39">
                  <c:v>137.47340425531914</c:v>
                </c:pt>
                <c:pt idx="40">
                  <c:v>141.06382978723403</c:v>
                </c:pt>
                <c:pt idx="41">
                  <c:v>145.53191489361703</c:v>
                </c:pt>
                <c:pt idx="42">
                  <c:v>147.92553191489361</c:v>
                </c:pt>
                <c:pt idx="43">
                  <c:v>151.03723404255319</c:v>
                </c:pt>
                <c:pt idx="44">
                  <c:v>155.37234042553192</c:v>
                </c:pt>
                <c:pt idx="45">
                  <c:v>157.23404255319147</c:v>
                </c:pt>
                <c:pt idx="46">
                  <c:v>160.39893617021275</c:v>
                </c:pt>
                <c:pt idx="47">
                  <c:v>163.61702127659575</c:v>
                </c:pt>
                <c:pt idx="48">
                  <c:v>166.22340425531914</c:v>
                </c:pt>
                <c:pt idx="49">
                  <c:v>168.93617021276594</c:v>
                </c:pt>
                <c:pt idx="50">
                  <c:v>174.06914893617019</c:v>
                </c:pt>
                <c:pt idx="51">
                  <c:v>176.56914893617019</c:v>
                </c:pt>
                <c:pt idx="52">
                  <c:v>179.92021276595744</c:v>
                </c:pt>
                <c:pt idx="53">
                  <c:v>182.89893617021275</c:v>
                </c:pt>
                <c:pt idx="54">
                  <c:v>185.61170212765956</c:v>
                </c:pt>
                <c:pt idx="55">
                  <c:v>188.11170212765956</c:v>
                </c:pt>
                <c:pt idx="56">
                  <c:v>194.84042553191489</c:v>
                </c:pt>
                <c:pt idx="57">
                  <c:v>196.67553191489361</c:v>
                </c:pt>
                <c:pt idx="58">
                  <c:v>199.41489361702128</c:v>
                </c:pt>
                <c:pt idx="59">
                  <c:v>203.11170212765956</c:v>
                </c:pt>
                <c:pt idx="60">
                  <c:v>204.86702127659575</c:v>
                </c:pt>
                <c:pt idx="61">
                  <c:v>206.72872340425531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450-47F3-A170-1F40280F6D36}"/>
            </c:ext>
          </c:extLst>
        </c:ser>
        <c:ser>
          <c:idx val="11"/>
          <c:order val="9"/>
          <c:tx>
            <c:strRef>
              <c:f>'Graph Data'!$B$36</c:f>
              <c:strCache>
                <c:ptCount val="1"/>
                <c:pt idx="0">
                  <c:v>USA</c:v>
                </c:pt>
              </c:strCache>
            </c:strRef>
          </c:tx>
          <c:spPr>
            <a:ln w="38100" cap="rnd">
              <a:solidFill>
                <a:schemeClr val="accent6">
                  <a:lumMod val="6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'Graph Data'!$C$26:$BL$26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Data'!$C$36:$BL$36</c:f>
              <c:numCache>
                <c:formatCode>0.0</c:formatCode>
                <c:ptCount val="62"/>
                <c:pt idx="0">
                  <c:v>4.6788990825688073</c:v>
                </c:pt>
                <c:pt idx="1">
                  <c:v>4.6788990825688073</c:v>
                </c:pt>
                <c:pt idx="2">
                  <c:v>6.0091743119266052</c:v>
                </c:pt>
                <c:pt idx="3">
                  <c:v>11.455657492354741</c:v>
                </c:pt>
                <c:pt idx="4">
                  <c:v>14.37308868501529</c:v>
                </c:pt>
                <c:pt idx="5">
                  <c:v>17.688073394495412</c:v>
                </c:pt>
                <c:pt idx="6">
                  <c:v>21.486238532110093</c:v>
                </c:pt>
                <c:pt idx="7">
                  <c:v>25.623853211009173</c:v>
                </c:pt>
                <c:pt idx="8">
                  <c:v>32.782874617737001</c:v>
                </c:pt>
                <c:pt idx="9">
                  <c:v>38.672782874617738</c:v>
                </c:pt>
                <c:pt idx="10">
                  <c:v>44.486238532110093</c:v>
                </c:pt>
                <c:pt idx="11">
                  <c:v>50.226299694189599</c:v>
                </c:pt>
                <c:pt idx="12">
                  <c:v>56.162079510703364</c:v>
                </c:pt>
                <c:pt idx="13">
                  <c:v>62.198776758409785</c:v>
                </c:pt>
                <c:pt idx="14">
                  <c:v>71.464831804281346</c:v>
                </c:pt>
                <c:pt idx="15">
                  <c:v>78.495412844036693</c:v>
                </c:pt>
                <c:pt idx="16">
                  <c:v>86.116207951070336</c:v>
                </c:pt>
                <c:pt idx="17">
                  <c:v>99.214067278287459</c:v>
                </c:pt>
                <c:pt idx="18">
                  <c:v>111.85321100917432</c:v>
                </c:pt>
                <c:pt idx="19">
                  <c:v>119.30886850152905</c:v>
                </c:pt>
                <c:pt idx="20">
                  <c:v>130.01223241590213</c:v>
                </c:pt>
                <c:pt idx="21">
                  <c:v>136.85626911314984</c:v>
                </c:pt>
                <c:pt idx="22">
                  <c:v>145.04587155963301</c:v>
                </c:pt>
                <c:pt idx="23">
                  <c:v>151.82874617737002</c:v>
                </c:pt>
                <c:pt idx="24">
                  <c:v>156.38837920489297</c:v>
                </c:pt>
                <c:pt idx="25">
                  <c:v>165.92048929663608</c:v>
                </c:pt>
                <c:pt idx="26">
                  <c:v>172.24159021406729</c:v>
                </c:pt>
                <c:pt idx="27">
                  <c:v>178.47706422018348</c:v>
                </c:pt>
                <c:pt idx="28">
                  <c:v>185.4434250764526</c:v>
                </c:pt>
                <c:pt idx="29">
                  <c:v>191.651376146789</c:v>
                </c:pt>
                <c:pt idx="30">
                  <c:v>198.86544342507645</c:v>
                </c:pt>
                <c:pt idx="31">
                  <c:v>204.651376146789</c:v>
                </c:pt>
                <c:pt idx="32">
                  <c:v>212.15290519877675</c:v>
                </c:pt>
                <c:pt idx="33">
                  <c:v>218.26299694189603</c:v>
                </c:pt>
                <c:pt idx="34">
                  <c:v>226.4250764525994</c:v>
                </c:pt>
                <c:pt idx="35">
                  <c:v>234.53516819571865</c:v>
                </c:pt>
                <c:pt idx="36">
                  <c:v>238.82262996941895</c:v>
                </c:pt>
                <c:pt idx="37">
                  <c:v>244.18042813455656</c:v>
                </c:pt>
                <c:pt idx="38">
                  <c:v>249.09785932721712</c:v>
                </c:pt>
                <c:pt idx="39">
                  <c:v>254.19266055045873</c:v>
                </c:pt>
                <c:pt idx="40">
                  <c:v>259.16513761467888</c:v>
                </c:pt>
                <c:pt idx="41">
                  <c:v>264.15902140672785</c:v>
                </c:pt>
                <c:pt idx="42">
                  <c:v>269.0061162079511</c:v>
                </c:pt>
                <c:pt idx="43">
                  <c:v>273.3822629969419</c:v>
                </c:pt>
                <c:pt idx="44">
                  <c:v>280.13149847094803</c:v>
                </c:pt>
                <c:pt idx="45">
                  <c:v>285.30886850152905</c:v>
                </c:pt>
                <c:pt idx="46">
                  <c:v>288.4617737003058</c:v>
                </c:pt>
                <c:pt idx="47">
                  <c:v>291.96941896024464</c:v>
                </c:pt>
                <c:pt idx="48">
                  <c:v>297.53211009174311</c:v>
                </c:pt>
                <c:pt idx="49">
                  <c:v>301.01223241590213</c:v>
                </c:pt>
                <c:pt idx="50">
                  <c:v>304.8440366972477</c:v>
                </c:pt>
                <c:pt idx="51">
                  <c:v>306.63302752293578</c:v>
                </c:pt>
                <c:pt idx="52">
                  <c:v>311.05810397553518</c:v>
                </c:pt>
                <c:pt idx="53">
                  <c:v>314.95107033639141</c:v>
                </c:pt>
                <c:pt idx="54">
                  <c:v>318.45565749235476</c:v>
                </c:pt>
                <c:pt idx="55">
                  <c:v>321.8073394495413</c:v>
                </c:pt>
                <c:pt idx="56">
                  <c:v>325.81651376146789</c:v>
                </c:pt>
                <c:pt idx="57">
                  <c:v>329.61162079510706</c:v>
                </c:pt>
                <c:pt idx="58">
                  <c:v>332.63914373088687</c:v>
                </c:pt>
                <c:pt idx="59">
                  <c:v>336.34556574923545</c:v>
                </c:pt>
                <c:pt idx="60">
                  <c:v>340.27217125382265</c:v>
                </c:pt>
                <c:pt idx="61">
                  <c:v>342.33027522935782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450-47F3-A170-1F40280F6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080640"/>
        <c:axId val="157079000"/>
        <c:extLst/>
      </c:lineChart>
      <c:dateAx>
        <c:axId val="157080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79000"/>
        <c:crosses val="autoZero"/>
        <c:auto val="1"/>
        <c:lblOffset val="100"/>
        <c:baseTimeUnit val="days"/>
      </c:dateAx>
      <c:valAx>
        <c:axId val="15707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% Mortality Outcome (OFR)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Data'!$B$39</c:f>
              <c:strCache>
                <c:ptCount val="1"/>
                <c:pt idx="0">
                  <c:v>Ontario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'Graph Data'!$C$38:$BL$38</c15:sqref>
                  </c15:fullRef>
                </c:ext>
              </c:extLst>
              <c:f>'Graph Data'!$I$38:$BL$38</c:f>
              <c:numCache>
                <c:formatCode>m/d/yyyy</c:formatCode>
                <c:ptCount val="56"/>
                <c:pt idx="0">
                  <c:v>43924</c:v>
                </c:pt>
                <c:pt idx="1">
                  <c:v>43925</c:v>
                </c:pt>
                <c:pt idx="2">
                  <c:v>43927</c:v>
                </c:pt>
                <c:pt idx="3">
                  <c:v>43928</c:v>
                </c:pt>
                <c:pt idx="4">
                  <c:v>43929</c:v>
                </c:pt>
                <c:pt idx="5">
                  <c:v>43930</c:v>
                </c:pt>
                <c:pt idx="6">
                  <c:v>43931</c:v>
                </c:pt>
                <c:pt idx="7">
                  <c:v>43932</c:v>
                </c:pt>
                <c:pt idx="8">
                  <c:v>43934</c:v>
                </c:pt>
                <c:pt idx="9">
                  <c:v>43935</c:v>
                </c:pt>
                <c:pt idx="10">
                  <c:v>43936</c:v>
                </c:pt>
                <c:pt idx="11">
                  <c:v>43937</c:v>
                </c:pt>
                <c:pt idx="12">
                  <c:v>43938</c:v>
                </c:pt>
                <c:pt idx="13">
                  <c:v>43939</c:v>
                </c:pt>
                <c:pt idx="14">
                  <c:v>43941</c:v>
                </c:pt>
                <c:pt idx="15">
                  <c:v>43942</c:v>
                </c:pt>
                <c:pt idx="16">
                  <c:v>43943</c:v>
                </c:pt>
                <c:pt idx="17">
                  <c:v>43944</c:v>
                </c:pt>
                <c:pt idx="18">
                  <c:v>43945</c:v>
                </c:pt>
                <c:pt idx="19">
                  <c:v>43946</c:v>
                </c:pt>
                <c:pt idx="20">
                  <c:v>43948</c:v>
                </c:pt>
                <c:pt idx="21">
                  <c:v>43949</c:v>
                </c:pt>
                <c:pt idx="22">
                  <c:v>43950</c:v>
                </c:pt>
                <c:pt idx="23">
                  <c:v>43951</c:v>
                </c:pt>
                <c:pt idx="24">
                  <c:v>43952</c:v>
                </c:pt>
                <c:pt idx="25">
                  <c:v>43953</c:v>
                </c:pt>
                <c:pt idx="26">
                  <c:v>43955</c:v>
                </c:pt>
                <c:pt idx="27">
                  <c:v>43956</c:v>
                </c:pt>
                <c:pt idx="28">
                  <c:v>43957</c:v>
                </c:pt>
                <c:pt idx="29">
                  <c:v>43958</c:v>
                </c:pt>
                <c:pt idx="30">
                  <c:v>43959</c:v>
                </c:pt>
                <c:pt idx="31">
                  <c:v>43960</c:v>
                </c:pt>
                <c:pt idx="32">
                  <c:v>43962</c:v>
                </c:pt>
                <c:pt idx="33">
                  <c:v>43963</c:v>
                </c:pt>
                <c:pt idx="34">
                  <c:v>43964</c:v>
                </c:pt>
                <c:pt idx="35">
                  <c:v>43965</c:v>
                </c:pt>
                <c:pt idx="36">
                  <c:v>43966</c:v>
                </c:pt>
                <c:pt idx="37">
                  <c:v>43967</c:v>
                </c:pt>
                <c:pt idx="38">
                  <c:v>43969</c:v>
                </c:pt>
                <c:pt idx="39">
                  <c:v>43970</c:v>
                </c:pt>
                <c:pt idx="40">
                  <c:v>43971</c:v>
                </c:pt>
                <c:pt idx="41">
                  <c:v>43972</c:v>
                </c:pt>
                <c:pt idx="42">
                  <c:v>43973</c:v>
                </c:pt>
                <c:pt idx="43">
                  <c:v>43974</c:v>
                </c:pt>
                <c:pt idx="44">
                  <c:v>43976</c:v>
                </c:pt>
                <c:pt idx="45">
                  <c:v>43977</c:v>
                </c:pt>
                <c:pt idx="46">
                  <c:v>43978</c:v>
                </c:pt>
                <c:pt idx="47">
                  <c:v>43979</c:v>
                </c:pt>
                <c:pt idx="48">
                  <c:v>43980</c:v>
                </c:pt>
                <c:pt idx="49">
                  <c:v>43981</c:v>
                </c:pt>
                <c:pt idx="50">
                  <c:v>43983</c:v>
                </c:pt>
                <c:pt idx="51">
                  <c:v>43984</c:v>
                </c:pt>
                <c:pt idx="52">
                  <c:v>43985</c:v>
                </c:pt>
                <c:pt idx="53">
                  <c:v>43986</c:v>
                </c:pt>
                <c:pt idx="54">
                  <c:v>43987</c:v>
                </c:pt>
                <c:pt idx="55">
                  <c:v>43988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Data'!$C$39:$BL$39</c15:sqref>
                  </c15:fullRef>
                </c:ext>
              </c:extLst>
              <c:f>'Graph Data'!$I$39:$BL$39</c:f>
              <c:numCache>
                <c:formatCode>0.0%</c:formatCode>
                <c:ptCount val="56"/>
                <c:pt idx="0">
                  <c:v>6.1467889908256884E-2</c:v>
                </c:pt>
                <c:pt idx="1">
                  <c:v>7.1591774562071595E-2</c:v>
                </c:pt>
                <c:pt idx="2">
                  <c:v>7.5170842824601361E-2</c:v>
                </c:pt>
                <c:pt idx="3">
                  <c:v>7.8260869565217397E-2</c:v>
                </c:pt>
                <c:pt idx="4">
                  <c:v>7.7402135231316727E-2</c:v>
                </c:pt>
                <c:pt idx="5">
                  <c:v>7.9840319361277445E-2</c:v>
                </c:pt>
                <c:pt idx="6">
                  <c:v>7.9399141630901282E-2</c:v>
                </c:pt>
                <c:pt idx="7">
                  <c:v>8.1324333011893277E-2</c:v>
                </c:pt>
                <c:pt idx="8">
                  <c:v>7.9769736842105268E-2</c:v>
                </c:pt>
                <c:pt idx="9">
                  <c:v>8.5597129677088671E-2</c:v>
                </c:pt>
                <c:pt idx="10">
                  <c:v>8.9806391415908557E-2</c:v>
                </c:pt>
                <c:pt idx="11">
                  <c:v>9.1617933723196876E-2</c:v>
                </c:pt>
                <c:pt idx="12">
                  <c:v>9.4954310687326182E-2</c:v>
                </c:pt>
                <c:pt idx="13">
                  <c:v>9.4624447717231219E-2</c:v>
                </c:pt>
                <c:pt idx="14">
                  <c:v>9.5753402197081491E-2</c:v>
                </c:pt>
                <c:pt idx="15">
                  <c:v>9.6764156813939017E-2</c:v>
                </c:pt>
                <c:pt idx="16">
                  <c:v>9.5784883720930233E-2</c:v>
                </c:pt>
                <c:pt idx="17">
                  <c:v>9.6442580819694299E-2</c:v>
                </c:pt>
                <c:pt idx="18">
                  <c:v>9.7197452229299361E-2</c:v>
                </c:pt>
                <c:pt idx="19">
                  <c:v>9.7475961538461539E-2</c:v>
                </c:pt>
                <c:pt idx="20">
                  <c:v>9.472231071466497E-2</c:v>
                </c:pt>
                <c:pt idx="21">
                  <c:v>9.5915279878971249E-2</c:v>
                </c:pt>
                <c:pt idx="22">
                  <c:v>9.3891402714932126E-2</c:v>
                </c:pt>
                <c:pt idx="23">
                  <c:v>9.5862496677593695E-2</c:v>
                </c:pt>
                <c:pt idx="24">
                  <c:v>9.3838941905240253E-2</c:v>
                </c:pt>
                <c:pt idx="25">
                  <c:v>9.3585866624224093E-2</c:v>
                </c:pt>
                <c:pt idx="26">
                  <c:v>9.4168779427743571E-2</c:v>
                </c:pt>
                <c:pt idx="27">
                  <c:v>9.625176803394625E-2</c:v>
                </c:pt>
                <c:pt idx="28">
                  <c:v>9.7536004368302509E-2</c:v>
                </c:pt>
                <c:pt idx="29">
                  <c:v>9.8165625415392796E-2</c:v>
                </c:pt>
                <c:pt idx="30">
                  <c:v>9.9162910495814549E-2</c:v>
                </c:pt>
                <c:pt idx="31">
                  <c:v>0.10005005631335252</c:v>
                </c:pt>
                <c:pt idx="32">
                  <c:v>9.9345238095238098E-2</c:v>
                </c:pt>
                <c:pt idx="33">
                  <c:v>0.10078289319934564</c:v>
                </c:pt>
                <c:pt idx="34">
                  <c:v>0.10022714366837024</c:v>
                </c:pt>
                <c:pt idx="35">
                  <c:v>9.9877791356515949E-2</c:v>
                </c:pt>
                <c:pt idx="36">
                  <c:v>9.8830282681685255E-2</c:v>
                </c:pt>
                <c:pt idx="37">
                  <c:v>9.8421442949464991E-2</c:v>
                </c:pt>
                <c:pt idx="38">
                  <c:v>9.74311738818954E-2</c:v>
                </c:pt>
                <c:pt idx="39">
                  <c:v>9.6836049856184089E-2</c:v>
                </c:pt>
                <c:pt idx="40">
                  <c:v>9.7360063517268752E-2</c:v>
                </c:pt>
                <c:pt idx="41">
                  <c:v>9.7210028289922937E-2</c:v>
                </c:pt>
                <c:pt idx="42">
                  <c:v>9.7219549740234751E-2</c:v>
                </c:pt>
                <c:pt idx="43">
                  <c:v>9.6631122015664817E-2</c:v>
                </c:pt>
                <c:pt idx="44">
                  <c:v>9.642201834862385E-2</c:v>
                </c:pt>
                <c:pt idx="45">
                  <c:v>9.6146007880077891E-2</c:v>
                </c:pt>
                <c:pt idx="46">
                  <c:v>9.566298219913881E-2</c:v>
                </c:pt>
                <c:pt idx="47">
                  <c:v>9.5748403464263845E-2</c:v>
                </c:pt>
                <c:pt idx="48">
                  <c:v>9.6066859087580239E-2</c:v>
                </c:pt>
                <c:pt idx="49">
                  <c:v>9.5211864406779659E-2</c:v>
                </c:pt>
                <c:pt idx="50">
                  <c:v>9.3167956117728934E-2</c:v>
                </c:pt>
                <c:pt idx="51">
                  <c:v>9.254550591274166E-2</c:v>
                </c:pt>
                <c:pt idx="52">
                  <c:v>9.2027226047844607E-2</c:v>
                </c:pt>
                <c:pt idx="53">
                  <c:v>9.2196362213964406E-2</c:v>
                </c:pt>
                <c:pt idx="54">
                  <c:v>9.1388942400308232E-2</c:v>
                </c:pt>
                <c:pt idx="55">
                  <c:v>9.1333383926538669E-2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6-4DDF-9669-15D1324CB2F6}"/>
            </c:ext>
          </c:extLst>
        </c:ser>
        <c:ser>
          <c:idx val="1"/>
          <c:order val="1"/>
          <c:tx>
            <c:strRef>
              <c:f>'Graph Data'!$B$40</c:f>
              <c:strCache>
                <c:ptCount val="1"/>
                <c:pt idx="0">
                  <c:v>Quebec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'Graph Data'!$C$38:$BL$38</c15:sqref>
                  </c15:fullRef>
                </c:ext>
              </c:extLst>
              <c:f>'Graph Data'!$I$38:$BL$38</c:f>
              <c:numCache>
                <c:formatCode>m/d/yyyy</c:formatCode>
                <c:ptCount val="56"/>
                <c:pt idx="0">
                  <c:v>43924</c:v>
                </c:pt>
                <c:pt idx="1">
                  <c:v>43925</c:v>
                </c:pt>
                <c:pt idx="2">
                  <c:v>43927</c:v>
                </c:pt>
                <c:pt idx="3">
                  <c:v>43928</c:v>
                </c:pt>
                <c:pt idx="4">
                  <c:v>43929</c:v>
                </c:pt>
                <c:pt idx="5">
                  <c:v>43930</c:v>
                </c:pt>
                <c:pt idx="6">
                  <c:v>43931</c:v>
                </c:pt>
                <c:pt idx="7">
                  <c:v>43932</c:v>
                </c:pt>
                <c:pt idx="8">
                  <c:v>43934</c:v>
                </c:pt>
                <c:pt idx="9">
                  <c:v>43935</c:v>
                </c:pt>
                <c:pt idx="10">
                  <c:v>43936</c:v>
                </c:pt>
                <c:pt idx="11">
                  <c:v>43937</c:v>
                </c:pt>
                <c:pt idx="12">
                  <c:v>43938</c:v>
                </c:pt>
                <c:pt idx="13">
                  <c:v>43939</c:v>
                </c:pt>
                <c:pt idx="14">
                  <c:v>43941</c:v>
                </c:pt>
                <c:pt idx="15">
                  <c:v>43942</c:v>
                </c:pt>
                <c:pt idx="16">
                  <c:v>43943</c:v>
                </c:pt>
                <c:pt idx="17">
                  <c:v>43944</c:v>
                </c:pt>
                <c:pt idx="18">
                  <c:v>43945</c:v>
                </c:pt>
                <c:pt idx="19">
                  <c:v>43946</c:v>
                </c:pt>
                <c:pt idx="20">
                  <c:v>43948</c:v>
                </c:pt>
                <c:pt idx="21">
                  <c:v>43949</c:v>
                </c:pt>
                <c:pt idx="22">
                  <c:v>43950</c:v>
                </c:pt>
                <c:pt idx="23">
                  <c:v>43951</c:v>
                </c:pt>
                <c:pt idx="24">
                  <c:v>43952</c:v>
                </c:pt>
                <c:pt idx="25">
                  <c:v>43953</c:v>
                </c:pt>
                <c:pt idx="26">
                  <c:v>43955</c:v>
                </c:pt>
                <c:pt idx="27">
                  <c:v>43956</c:v>
                </c:pt>
                <c:pt idx="28">
                  <c:v>43957</c:v>
                </c:pt>
                <c:pt idx="29">
                  <c:v>43958</c:v>
                </c:pt>
                <c:pt idx="30">
                  <c:v>43959</c:v>
                </c:pt>
                <c:pt idx="31">
                  <c:v>43960</c:v>
                </c:pt>
                <c:pt idx="32">
                  <c:v>43962</c:v>
                </c:pt>
                <c:pt idx="33">
                  <c:v>43963</c:v>
                </c:pt>
                <c:pt idx="34">
                  <c:v>43964</c:v>
                </c:pt>
                <c:pt idx="35">
                  <c:v>43965</c:v>
                </c:pt>
                <c:pt idx="36">
                  <c:v>43966</c:v>
                </c:pt>
                <c:pt idx="37">
                  <c:v>43967</c:v>
                </c:pt>
                <c:pt idx="38">
                  <c:v>43969</c:v>
                </c:pt>
                <c:pt idx="39">
                  <c:v>43970</c:v>
                </c:pt>
                <c:pt idx="40">
                  <c:v>43971</c:v>
                </c:pt>
                <c:pt idx="41">
                  <c:v>43972</c:v>
                </c:pt>
                <c:pt idx="42">
                  <c:v>43973</c:v>
                </c:pt>
                <c:pt idx="43">
                  <c:v>43974</c:v>
                </c:pt>
                <c:pt idx="44">
                  <c:v>43976</c:v>
                </c:pt>
                <c:pt idx="45">
                  <c:v>43977</c:v>
                </c:pt>
                <c:pt idx="46">
                  <c:v>43978</c:v>
                </c:pt>
                <c:pt idx="47">
                  <c:v>43979</c:v>
                </c:pt>
                <c:pt idx="48">
                  <c:v>43980</c:v>
                </c:pt>
                <c:pt idx="49">
                  <c:v>43981</c:v>
                </c:pt>
                <c:pt idx="50">
                  <c:v>43983</c:v>
                </c:pt>
                <c:pt idx="51">
                  <c:v>43984</c:v>
                </c:pt>
                <c:pt idx="52">
                  <c:v>43985</c:v>
                </c:pt>
                <c:pt idx="53">
                  <c:v>43986</c:v>
                </c:pt>
                <c:pt idx="54">
                  <c:v>43987</c:v>
                </c:pt>
                <c:pt idx="55">
                  <c:v>43988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Data'!$C$40:$BL$40</c15:sqref>
                  </c15:fullRef>
                </c:ext>
              </c:extLst>
              <c:f>'Graph Data'!$I$40:$BL$40</c:f>
              <c:numCache>
                <c:formatCode>0.0%</c:formatCode>
                <c:ptCount val="56"/>
                <c:pt idx="0">
                  <c:v>0.16621253405994552</c:v>
                </c:pt>
                <c:pt idx="1">
                  <c:v>0.19685039370078741</c:v>
                </c:pt>
                <c:pt idx="2">
                  <c:v>0.16530054644808742</c:v>
                </c:pt>
                <c:pt idx="3">
                  <c:v>0.17241379310344829</c:v>
                </c:pt>
                <c:pt idx="4">
                  <c:v>0.17465069860279442</c:v>
                </c:pt>
                <c:pt idx="5">
                  <c:v>0.16265060240963855</c:v>
                </c:pt>
                <c:pt idx="6">
                  <c:v>0.15233881163084703</c:v>
                </c:pt>
                <c:pt idx="7">
                  <c:v>0.17730061349693252</c:v>
                </c:pt>
                <c:pt idx="8">
                  <c:v>0.15371477369769429</c:v>
                </c:pt>
                <c:pt idx="9">
                  <c:v>0.16853932584269662</c:v>
                </c:pt>
                <c:pt idx="10">
                  <c:v>0.16353257219610476</c:v>
                </c:pt>
                <c:pt idx="11">
                  <c:v>0.1815038893690579</c:v>
                </c:pt>
                <c:pt idx="12">
                  <c:v>0.18317358892438765</c:v>
                </c:pt>
                <c:pt idx="13">
                  <c:v>0.1953883495145631</c:v>
                </c:pt>
                <c:pt idx="14">
                  <c:v>0.19619724195570415</c:v>
                </c:pt>
                <c:pt idx="15">
                  <c:v>0.20455885242680291</c:v>
                </c:pt>
                <c:pt idx="16">
                  <c:v>0.20903225806451614</c:v>
                </c:pt>
                <c:pt idx="17">
                  <c:v>0.21704208136895409</c:v>
                </c:pt>
                <c:pt idx="18">
                  <c:v>0.22097625329815304</c:v>
                </c:pt>
                <c:pt idx="19">
                  <c:v>0.22235891127172075</c:v>
                </c:pt>
                <c:pt idx="20">
                  <c:v>0.22470489038785835</c:v>
                </c:pt>
                <c:pt idx="21">
                  <c:v>0.22358101821082016</c:v>
                </c:pt>
                <c:pt idx="22">
                  <c:v>0.22550902804456396</c:v>
                </c:pt>
                <c:pt idx="23">
                  <c:v>0.22787447903898014</c:v>
                </c:pt>
                <c:pt idx="24">
                  <c:v>0.23182756248566844</c:v>
                </c:pt>
                <c:pt idx="25">
                  <c:v>0.2346994835732337</c:v>
                </c:pt>
                <c:pt idx="26">
                  <c:v>0.23128423615337795</c:v>
                </c:pt>
                <c:pt idx="27">
                  <c:v>0.23234182734231179</c:v>
                </c:pt>
                <c:pt idx="28">
                  <c:v>0.23253659440429869</c:v>
                </c:pt>
                <c:pt idx="29">
                  <c:v>0.23274946921443737</c:v>
                </c:pt>
                <c:pt idx="30">
                  <c:v>0.23384536170943104</c:v>
                </c:pt>
                <c:pt idx="31">
                  <c:v>0.23112659698025551</c:v>
                </c:pt>
                <c:pt idx="32">
                  <c:v>0.2369455803711859</c:v>
                </c:pt>
                <c:pt idx="33">
                  <c:v>0.23743080306362327</c:v>
                </c:pt>
                <c:pt idx="34">
                  <c:v>0.23520818115412709</c:v>
                </c:pt>
                <c:pt idx="35">
                  <c:v>0.23631875881523273</c:v>
                </c:pt>
                <c:pt idx="36">
                  <c:v>0.23552631578947369</c:v>
                </c:pt>
                <c:pt idx="37">
                  <c:v>0.23311692657787297</c:v>
                </c:pt>
                <c:pt idx="38">
                  <c:v>0.22990857362061248</c:v>
                </c:pt>
                <c:pt idx="39">
                  <c:v>0.22590436075322101</c:v>
                </c:pt>
                <c:pt idx="40">
                  <c:v>0.22478839177750906</c:v>
                </c:pt>
                <c:pt idx="41">
                  <c:v>0.22187189817247621</c:v>
                </c:pt>
                <c:pt idx="42">
                  <c:v>0.21855914951368469</c:v>
                </c:pt>
                <c:pt idx="43">
                  <c:v>0.21908362989323843</c:v>
                </c:pt>
                <c:pt idx="44">
                  <c:v>0.21732628318111413</c:v>
                </c:pt>
                <c:pt idx="45">
                  <c:v>0.2162712927160623</c:v>
                </c:pt>
                <c:pt idx="46">
                  <c:v>0.21629917634419604</c:v>
                </c:pt>
                <c:pt idx="47">
                  <c:v>0.21596385542168675</c:v>
                </c:pt>
                <c:pt idx="48">
                  <c:v>0.21523358492427605</c:v>
                </c:pt>
                <c:pt idx="49">
                  <c:v>0.21644156224096739</c:v>
                </c:pt>
                <c:pt idx="50">
                  <c:v>0.21925863204440682</c:v>
                </c:pt>
                <c:pt idx="51">
                  <c:v>0.21904629113218071</c:v>
                </c:pt>
                <c:pt idx="52">
                  <c:v>0.21898410378220354</c:v>
                </c:pt>
                <c:pt idx="53">
                  <c:v>0.2198370910400072</c:v>
                </c:pt>
                <c:pt idx="54">
                  <c:v>0.21741045861051148</c:v>
                </c:pt>
                <c:pt idx="55">
                  <c:v>0.21255666752202548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6-4DDF-9669-15D1324CB2F6}"/>
            </c:ext>
          </c:extLst>
        </c:ser>
        <c:ser>
          <c:idx val="2"/>
          <c:order val="2"/>
          <c:tx>
            <c:strRef>
              <c:f>'Graph Data'!$B$41</c:f>
              <c:strCache>
                <c:ptCount val="1"/>
                <c:pt idx="0">
                  <c:v>BC</c:v>
                </c:pt>
              </c:strCache>
            </c:strRef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'Graph Data'!$C$38:$BL$38</c15:sqref>
                  </c15:fullRef>
                </c:ext>
              </c:extLst>
              <c:f>'Graph Data'!$I$38:$BL$38</c:f>
              <c:numCache>
                <c:formatCode>m/d/yyyy</c:formatCode>
                <c:ptCount val="56"/>
                <c:pt idx="0">
                  <c:v>43924</c:v>
                </c:pt>
                <c:pt idx="1">
                  <c:v>43925</c:v>
                </c:pt>
                <c:pt idx="2">
                  <c:v>43927</c:v>
                </c:pt>
                <c:pt idx="3">
                  <c:v>43928</c:v>
                </c:pt>
                <c:pt idx="4">
                  <c:v>43929</c:v>
                </c:pt>
                <c:pt idx="5">
                  <c:v>43930</c:v>
                </c:pt>
                <c:pt idx="6">
                  <c:v>43931</c:v>
                </c:pt>
                <c:pt idx="7">
                  <c:v>43932</c:v>
                </c:pt>
                <c:pt idx="8">
                  <c:v>43934</c:v>
                </c:pt>
                <c:pt idx="9">
                  <c:v>43935</c:v>
                </c:pt>
                <c:pt idx="10">
                  <c:v>43936</c:v>
                </c:pt>
                <c:pt idx="11">
                  <c:v>43937</c:v>
                </c:pt>
                <c:pt idx="12">
                  <c:v>43938</c:v>
                </c:pt>
                <c:pt idx="13">
                  <c:v>43939</c:v>
                </c:pt>
                <c:pt idx="14">
                  <c:v>43941</c:v>
                </c:pt>
                <c:pt idx="15">
                  <c:v>43942</c:v>
                </c:pt>
                <c:pt idx="16">
                  <c:v>43943</c:v>
                </c:pt>
                <c:pt idx="17">
                  <c:v>43944</c:v>
                </c:pt>
                <c:pt idx="18">
                  <c:v>43945</c:v>
                </c:pt>
                <c:pt idx="19">
                  <c:v>43946</c:v>
                </c:pt>
                <c:pt idx="20">
                  <c:v>43948</c:v>
                </c:pt>
                <c:pt idx="21">
                  <c:v>43949</c:v>
                </c:pt>
                <c:pt idx="22">
                  <c:v>43950</c:v>
                </c:pt>
                <c:pt idx="23">
                  <c:v>43951</c:v>
                </c:pt>
                <c:pt idx="24">
                  <c:v>43952</c:v>
                </c:pt>
                <c:pt idx="25">
                  <c:v>43953</c:v>
                </c:pt>
                <c:pt idx="26">
                  <c:v>43955</c:v>
                </c:pt>
                <c:pt idx="27">
                  <c:v>43956</c:v>
                </c:pt>
                <c:pt idx="28">
                  <c:v>43957</c:v>
                </c:pt>
                <c:pt idx="29">
                  <c:v>43958</c:v>
                </c:pt>
                <c:pt idx="30">
                  <c:v>43959</c:v>
                </c:pt>
                <c:pt idx="31">
                  <c:v>43960</c:v>
                </c:pt>
                <c:pt idx="32">
                  <c:v>43962</c:v>
                </c:pt>
                <c:pt idx="33">
                  <c:v>43963</c:v>
                </c:pt>
                <c:pt idx="34">
                  <c:v>43964</c:v>
                </c:pt>
                <c:pt idx="35">
                  <c:v>43965</c:v>
                </c:pt>
                <c:pt idx="36">
                  <c:v>43966</c:v>
                </c:pt>
                <c:pt idx="37">
                  <c:v>43967</c:v>
                </c:pt>
                <c:pt idx="38">
                  <c:v>43969</c:v>
                </c:pt>
                <c:pt idx="39">
                  <c:v>43970</c:v>
                </c:pt>
                <c:pt idx="40">
                  <c:v>43971</c:v>
                </c:pt>
                <c:pt idx="41">
                  <c:v>43972</c:v>
                </c:pt>
                <c:pt idx="42">
                  <c:v>43973</c:v>
                </c:pt>
                <c:pt idx="43">
                  <c:v>43974</c:v>
                </c:pt>
                <c:pt idx="44">
                  <c:v>43976</c:v>
                </c:pt>
                <c:pt idx="45">
                  <c:v>43977</c:v>
                </c:pt>
                <c:pt idx="46">
                  <c:v>43978</c:v>
                </c:pt>
                <c:pt idx="47">
                  <c:v>43979</c:v>
                </c:pt>
                <c:pt idx="48">
                  <c:v>43980</c:v>
                </c:pt>
                <c:pt idx="49">
                  <c:v>43981</c:v>
                </c:pt>
                <c:pt idx="50">
                  <c:v>43983</c:v>
                </c:pt>
                <c:pt idx="51">
                  <c:v>43984</c:v>
                </c:pt>
                <c:pt idx="52">
                  <c:v>43985</c:v>
                </c:pt>
                <c:pt idx="53">
                  <c:v>43986</c:v>
                </c:pt>
                <c:pt idx="54">
                  <c:v>43987</c:v>
                </c:pt>
                <c:pt idx="55">
                  <c:v>43988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Data'!$C$41:$BL$41</c15:sqref>
                  </c15:fullRef>
                </c:ext>
              </c:extLst>
              <c:f>'Graph Data'!$I$41:$BL$41</c:f>
              <c:numCache>
                <c:formatCode>0.0%</c:formatCode>
                <c:ptCount val="56"/>
                <c:pt idx="0">
                  <c:v>5.1775147928994084E-2</c:v>
                </c:pt>
                <c:pt idx="1">
                  <c:v>5.1212938005390833E-2</c:v>
                </c:pt>
                <c:pt idx="2">
                  <c:v>4.7445255474452552E-2</c:v>
                </c:pt>
                <c:pt idx="3">
                  <c:v>5.0707547169811323E-2</c:v>
                </c:pt>
                <c:pt idx="4">
                  <c:v>5.4176072234762979E-2</c:v>
                </c:pt>
                <c:pt idx="5">
                  <c:v>5.5066079295154183E-2</c:v>
                </c:pt>
                <c:pt idx="6">
                  <c:v>5.8886509635974305E-2</c:v>
                </c:pt>
                <c:pt idx="7">
                  <c:v>6.0228452751817235E-2</c:v>
                </c:pt>
                <c:pt idx="8">
                  <c:v>6.9346733668341709E-2</c:v>
                </c:pt>
                <c:pt idx="9">
                  <c:v>7.1005917159763315E-2</c:v>
                </c:pt>
                <c:pt idx="10">
                  <c:v>7.0093457943925228E-2</c:v>
                </c:pt>
                <c:pt idx="11">
                  <c:v>7.3515551366635248E-2</c:v>
                </c:pt>
                <c:pt idx="12">
                  <c:v>7.4712643678160925E-2</c:v>
                </c:pt>
                <c:pt idx="13">
                  <c:v>7.5842696629213488E-2</c:v>
                </c:pt>
                <c:pt idx="14">
                  <c:v>7.644444444444444E-2</c:v>
                </c:pt>
                <c:pt idx="15">
                  <c:v>7.7127659574468085E-2</c:v>
                </c:pt>
                <c:pt idx="16">
                  <c:v>7.6988879384088965E-2</c:v>
                </c:pt>
                <c:pt idx="17">
                  <c:v>7.9258010118043842E-2</c:v>
                </c:pt>
                <c:pt idx="18">
                  <c:v>8.0858085808580851E-2</c:v>
                </c:pt>
                <c:pt idx="19">
                  <c:v>8.084074373484236E-2</c:v>
                </c:pt>
                <c:pt idx="20">
                  <c:v>7.965970610982212E-2</c:v>
                </c:pt>
                <c:pt idx="21">
                  <c:v>7.859281437125748E-2</c:v>
                </c:pt>
                <c:pt idx="22">
                  <c:v>7.7086280056577083E-2</c:v>
                </c:pt>
                <c:pt idx="23">
                  <c:v>7.7298050139275765E-2</c:v>
                </c:pt>
                <c:pt idx="24">
                  <c:v>7.7459874389392877E-2</c:v>
                </c:pt>
                <c:pt idx="25">
                  <c:v>7.6242341729067395E-2</c:v>
                </c:pt>
                <c:pt idx="26">
                  <c:v>7.6271186440677971E-2</c:v>
                </c:pt>
                <c:pt idx="27">
                  <c:v>7.595731324544884E-2</c:v>
                </c:pt>
                <c:pt idx="28">
                  <c:v>7.6637824474660068E-2</c:v>
                </c:pt>
                <c:pt idx="29">
                  <c:v>7.6923076923076927E-2</c:v>
                </c:pt>
                <c:pt idx="30">
                  <c:v>7.4443141852286052E-2</c:v>
                </c:pt>
                <c:pt idx="31">
                  <c:v>7.2147651006711416E-2</c:v>
                </c:pt>
                <c:pt idx="32">
                  <c:v>7.0308274743104388E-2</c:v>
                </c:pt>
                <c:pt idx="33">
                  <c:v>6.6734589913397854E-2</c:v>
                </c:pt>
                <c:pt idx="34">
                  <c:v>6.6298342541436461E-2</c:v>
                </c:pt>
                <c:pt idx="35">
                  <c:v>6.6831683168316836E-2</c:v>
                </c:pt>
                <c:pt idx="36">
                  <c:v>6.8359375E-2</c:v>
                </c:pt>
                <c:pt idx="37">
                  <c:v>6.8017366136034735E-2</c:v>
                </c:pt>
                <c:pt idx="38">
                  <c:v>6.7804646752015169E-2</c:v>
                </c:pt>
                <c:pt idx="39">
                  <c:v>6.883545497406883E-2</c:v>
                </c:pt>
                <c:pt idx="40">
                  <c:v>7.0150659133709978E-2</c:v>
                </c:pt>
                <c:pt idx="41">
                  <c:v>6.9981583793738492E-2</c:v>
                </c:pt>
                <c:pt idx="42">
                  <c:v>7.0550751024123809E-2</c:v>
                </c:pt>
                <c:pt idx="43">
                  <c:v>7.0912375790424573E-2</c:v>
                </c:pt>
                <c:pt idx="44">
                  <c:v>7.1144498453380473E-2</c:v>
                </c:pt>
                <c:pt idx="45">
                  <c:v>7.0521243977222953E-2</c:v>
                </c:pt>
                <c:pt idx="46">
                  <c:v>7.0251517779705119E-2</c:v>
                </c:pt>
                <c:pt idx="47">
                  <c:v>7.0781182563659908E-2</c:v>
                </c:pt>
                <c:pt idx="48">
                  <c:v>7.0265638389031701E-2</c:v>
                </c:pt>
                <c:pt idx="49">
                  <c:v>6.9936034115138587E-2</c:v>
                </c:pt>
                <c:pt idx="50">
                  <c:v>6.9561551433389546E-2</c:v>
                </c:pt>
                <c:pt idx="51">
                  <c:v>6.8922305764411024E-2</c:v>
                </c:pt>
                <c:pt idx="52">
                  <c:v>6.8908260689082609E-2</c:v>
                </c:pt>
                <c:pt idx="53">
                  <c:v>6.8284656519950637E-2</c:v>
                </c:pt>
                <c:pt idx="54">
                  <c:v>6.8470684706847071E-2</c:v>
                </c:pt>
                <c:pt idx="55">
                  <c:v>6.8470684706847071E-2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86-4DDF-9669-15D1324CB2F6}"/>
            </c:ext>
          </c:extLst>
        </c:ser>
        <c:ser>
          <c:idx val="3"/>
          <c:order val="3"/>
          <c:tx>
            <c:strRef>
              <c:f>'Graph Data'!$B$42</c:f>
              <c:strCache>
                <c:ptCount val="1"/>
                <c:pt idx="0">
                  <c:v>Alberta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'Graph Data'!$C$38:$BL$38</c15:sqref>
                  </c15:fullRef>
                </c:ext>
              </c:extLst>
              <c:f>'Graph Data'!$I$38:$BL$38</c:f>
              <c:numCache>
                <c:formatCode>m/d/yyyy</c:formatCode>
                <c:ptCount val="56"/>
                <c:pt idx="0">
                  <c:v>43924</c:v>
                </c:pt>
                <c:pt idx="1">
                  <c:v>43925</c:v>
                </c:pt>
                <c:pt idx="2">
                  <c:v>43927</c:v>
                </c:pt>
                <c:pt idx="3">
                  <c:v>43928</c:v>
                </c:pt>
                <c:pt idx="4">
                  <c:v>43929</c:v>
                </c:pt>
                <c:pt idx="5">
                  <c:v>43930</c:v>
                </c:pt>
                <c:pt idx="6">
                  <c:v>43931</c:v>
                </c:pt>
                <c:pt idx="7">
                  <c:v>43932</c:v>
                </c:pt>
                <c:pt idx="8">
                  <c:v>43934</c:v>
                </c:pt>
                <c:pt idx="9">
                  <c:v>43935</c:v>
                </c:pt>
                <c:pt idx="10">
                  <c:v>43936</c:v>
                </c:pt>
                <c:pt idx="11">
                  <c:v>43937</c:v>
                </c:pt>
                <c:pt idx="12">
                  <c:v>43938</c:v>
                </c:pt>
                <c:pt idx="13">
                  <c:v>43939</c:v>
                </c:pt>
                <c:pt idx="14">
                  <c:v>43941</c:v>
                </c:pt>
                <c:pt idx="15">
                  <c:v>43942</c:v>
                </c:pt>
                <c:pt idx="16">
                  <c:v>43943</c:v>
                </c:pt>
                <c:pt idx="17">
                  <c:v>43944</c:v>
                </c:pt>
                <c:pt idx="18">
                  <c:v>43945</c:v>
                </c:pt>
                <c:pt idx="19">
                  <c:v>43946</c:v>
                </c:pt>
                <c:pt idx="20">
                  <c:v>43948</c:v>
                </c:pt>
                <c:pt idx="21">
                  <c:v>43949</c:v>
                </c:pt>
                <c:pt idx="22">
                  <c:v>43950</c:v>
                </c:pt>
                <c:pt idx="23">
                  <c:v>43951</c:v>
                </c:pt>
                <c:pt idx="24">
                  <c:v>43952</c:v>
                </c:pt>
                <c:pt idx="25">
                  <c:v>43953</c:v>
                </c:pt>
                <c:pt idx="26">
                  <c:v>43955</c:v>
                </c:pt>
                <c:pt idx="27">
                  <c:v>43956</c:v>
                </c:pt>
                <c:pt idx="28">
                  <c:v>43957</c:v>
                </c:pt>
                <c:pt idx="29">
                  <c:v>43958</c:v>
                </c:pt>
                <c:pt idx="30">
                  <c:v>43959</c:v>
                </c:pt>
                <c:pt idx="31">
                  <c:v>43960</c:v>
                </c:pt>
                <c:pt idx="32">
                  <c:v>43962</c:v>
                </c:pt>
                <c:pt idx="33">
                  <c:v>43963</c:v>
                </c:pt>
                <c:pt idx="34">
                  <c:v>43964</c:v>
                </c:pt>
                <c:pt idx="35">
                  <c:v>43965</c:v>
                </c:pt>
                <c:pt idx="36">
                  <c:v>43966</c:v>
                </c:pt>
                <c:pt idx="37">
                  <c:v>43967</c:v>
                </c:pt>
                <c:pt idx="38">
                  <c:v>43969</c:v>
                </c:pt>
                <c:pt idx="39">
                  <c:v>43970</c:v>
                </c:pt>
                <c:pt idx="40">
                  <c:v>43971</c:v>
                </c:pt>
                <c:pt idx="41">
                  <c:v>43972</c:v>
                </c:pt>
                <c:pt idx="42">
                  <c:v>43973</c:v>
                </c:pt>
                <c:pt idx="43">
                  <c:v>43974</c:v>
                </c:pt>
                <c:pt idx="44">
                  <c:v>43976</c:v>
                </c:pt>
                <c:pt idx="45">
                  <c:v>43977</c:v>
                </c:pt>
                <c:pt idx="46">
                  <c:v>43978</c:v>
                </c:pt>
                <c:pt idx="47">
                  <c:v>43979</c:v>
                </c:pt>
                <c:pt idx="48">
                  <c:v>43980</c:v>
                </c:pt>
                <c:pt idx="49">
                  <c:v>43981</c:v>
                </c:pt>
                <c:pt idx="50">
                  <c:v>43983</c:v>
                </c:pt>
                <c:pt idx="51">
                  <c:v>43984</c:v>
                </c:pt>
                <c:pt idx="52">
                  <c:v>43985</c:v>
                </c:pt>
                <c:pt idx="53">
                  <c:v>43986</c:v>
                </c:pt>
                <c:pt idx="54">
                  <c:v>43987</c:v>
                </c:pt>
                <c:pt idx="55">
                  <c:v>43988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Data'!$C$42:$BL$42</c15:sqref>
                  </c15:fullRef>
                </c:ext>
              </c:extLst>
              <c:f>'Graph Data'!$I$42:$BL$42</c:f>
              <c:numCache>
                <c:formatCode>0.0%</c:formatCode>
                <c:ptCount val="56"/>
                <c:pt idx="0">
                  <c:v>9.4890510948905105E-2</c:v>
                </c:pt>
                <c:pt idx="1">
                  <c:v>9.2592592592592587E-2</c:v>
                </c:pt>
                <c:pt idx="2">
                  <c:v>7.2327044025157231E-2</c:v>
                </c:pt>
                <c:pt idx="3">
                  <c:v>5.4968287526427059E-2</c:v>
                </c:pt>
                <c:pt idx="4">
                  <c:v>5.2919708029197078E-2</c:v>
                </c:pt>
                <c:pt idx="5">
                  <c:v>5.128205128205128E-2</c:v>
                </c:pt>
                <c:pt idx="6">
                  <c:v>5.1861702127659573E-2</c:v>
                </c:pt>
                <c:pt idx="7">
                  <c:v>4.797047970479705E-2</c:v>
                </c:pt>
                <c:pt idx="8">
                  <c:v>4.9837486457204767E-2</c:v>
                </c:pt>
                <c:pt idx="9">
                  <c:v>4.9896049896049899E-2</c:v>
                </c:pt>
                <c:pt idx="10">
                  <c:v>4.9896049896049899E-2</c:v>
                </c:pt>
                <c:pt idx="11">
                  <c:v>5.1867219917012451E-2</c:v>
                </c:pt>
                <c:pt idx="12">
                  <c:v>4.2589437819420782E-2</c:v>
                </c:pt>
                <c:pt idx="13">
                  <c:v>3.6480686695278972E-2</c:v>
                </c:pt>
                <c:pt idx="14">
                  <c:v>4.5771916214119475E-2</c:v>
                </c:pt>
                <c:pt idx="15">
                  <c:v>4.572713643178411E-2</c:v>
                </c:pt>
                <c:pt idx="16">
                  <c:v>4.7965116279069769E-2</c:v>
                </c:pt>
                <c:pt idx="17">
                  <c:v>4.7050561797752806E-2</c:v>
                </c:pt>
                <c:pt idx="18">
                  <c:v>4.9012933968686181E-2</c:v>
                </c:pt>
                <c:pt idx="19">
                  <c:v>4.7279792746113991E-2</c:v>
                </c:pt>
                <c:pt idx="20">
                  <c:v>4.3128234617596323E-2</c:v>
                </c:pt>
                <c:pt idx="21">
                  <c:v>4.2553191489361701E-2</c:v>
                </c:pt>
                <c:pt idx="22">
                  <c:v>4.2647058823529413E-2</c:v>
                </c:pt>
                <c:pt idx="23">
                  <c:v>3.9555555555555552E-2</c:v>
                </c:pt>
                <c:pt idx="24">
                  <c:v>3.7535699714402286E-2</c:v>
                </c:pt>
                <c:pt idx="25">
                  <c:v>3.5768645357686452E-2</c:v>
                </c:pt>
                <c:pt idx="26">
                  <c:v>3.4143138542350626E-2</c:v>
                </c:pt>
                <c:pt idx="27">
                  <c:v>3.18796992481203E-2</c:v>
                </c:pt>
                <c:pt idx="28">
                  <c:v>3.0567685589519649E-2</c:v>
                </c:pt>
                <c:pt idx="29">
                  <c:v>2.9059393321437674E-2</c:v>
                </c:pt>
                <c:pt idx="30">
                  <c:v>2.7811366384522369E-2</c:v>
                </c:pt>
                <c:pt idx="31">
                  <c:v>2.6851851851851852E-2</c:v>
                </c:pt>
                <c:pt idx="32">
                  <c:v>2.4497487437185928E-2</c:v>
                </c:pt>
                <c:pt idx="33">
                  <c:v>2.3675762439807384E-2</c:v>
                </c:pt>
                <c:pt idx="34">
                  <c:v>2.3094688221709007E-2</c:v>
                </c:pt>
                <c:pt idx="35">
                  <c:v>2.2718738265114533E-2</c:v>
                </c:pt>
                <c:pt idx="36">
                  <c:v>2.2969496508636531E-2</c:v>
                </c:pt>
                <c:pt idx="37">
                  <c:v>2.2896601853534437E-2</c:v>
                </c:pt>
                <c:pt idx="38">
                  <c:v>2.2666902780237294E-2</c:v>
                </c:pt>
                <c:pt idx="39">
                  <c:v>2.2408963585434174E-2</c:v>
                </c:pt>
                <c:pt idx="40">
                  <c:v>2.220294882914137E-2</c:v>
                </c:pt>
                <c:pt idx="41">
                  <c:v>2.2595001711742554E-2</c:v>
                </c:pt>
                <c:pt idx="42">
                  <c:v>2.257792754844145E-2</c:v>
                </c:pt>
                <c:pt idx="43">
                  <c:v>2.2485009993337773E-2</c:v>
                </c:pt>
                <c:pt idx="44">
                  <c:v>2.2560078469838155E-2</c:v>
                </c:pt>
                <c:pt idx="45">
                  <c:v>2.2466461936318086E-2</c:v>
                </c:pt>
                <c:pt idx="46">
                  <c:v>2.2570834000320155E-2</c:v>
                </c:pt>
                <c:pt idx="47">
                  <c:v>2.2687609075043629E-2</c:v>
                </c:pt>
                <c:pt idx="48">
                  <c:v>2.2480742021694703E-2</c:v>
                </c:pt>
                <c:pt idx="49">
                  <c:v>2.2385723231058235E-2</c:v>
                </c:pt>
                <c:pt idx="50">
                  <c:v>2.1523178807947019E-2</c:v>
                </c:pt>
                <c:pt idx="51">
                  <c:v>2.1407185628742515E-2</c:v>
                </c:pt>
                <c:pt idx="52">
                  <c:v>2.1538918597742127E-2</c:v>
                </c:pt>
                <c:pt idx="53">
                  <c:v>2.1607222140002959E-2</c:v>
                </c:pt>
                <c:pt idx="54">
                  <c:v>2.1565731166912849E-2</c:v>
                </c:pt>
                <c:pt idx="55">
                  <c:v>2.1464275213172596E-2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86-4DDF-9669-15D1324CB2F6}"/>
            </c:ext>
          </c:extLst>
        </c:ser>
        <c:ser>
          <c:idx val="4"/>
          <c:order val="4"/>
          <c:tx>
            <c:strRef>
              <c:f>'Graph Data'!$B$43</c:f>
              <c:strCache>
                <c:ptCount val="1"/>
                <c:pt idx="0">
                  <c:v>Manitoba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'Graph Data'!$C$38:$BL$38</c15:sqref>
                  </c15:fullRef>
                </c:ext>
              </c:extLst>
              <c:f>'Graph Data'!$I$38:$BL$38</c:f>
              <c:numCache>
                <c:formatCode>m/d/yyyy</c:formatCode>
                <c:ptCount val="56"/>
                <c:pt idx="0">
                  <c:v>43924</c:v>
                </c:pt>
                <c:pt idx="1">
                  <c:v>43925</c:v>
                </c:pt>
                <c:pt idx="2">
                  <c:v>43927</c:v>
                </c:pt>
                <c:pt idx="3">
                  <c:v>43928</c:v>
                </c:pt>
                <c:pt idx="4">
                  <c:v>43929</c:v>
                </c:pt>
                <c:pt idx="5">
                  <c:v>43930</c:v>
                </c:pt>
                <c:pt idx="6">
                  <c:v>43931</c:v>
                </c:pt>
                <c:pt idx="7">
                  <c:v>43932</c:v>
                </c:pt>
                <c:pt idx="8">
                  <c:v>43934</c:v>
                </c:pt>
                <c:pt idx="9">
                  <c:v>43935</c:v>
                </c:pt>
                <c:pt idx="10">
                  <c:v>43936</c:v>
                </c:pt>
                <c:pt idx="11">
                  <c:v>43937</c:v>
                </c:pt>
                <c:pt idx="12">
                  <c:v>43938</c:v>
                </c:pt>
                <c:pt idx="13">
                  <c:v>43939</c:v>
                </c:pt>
                <c:pt idx="14">
                  <c:v>43941</c:v>
                </c:pt>
                <c:pt idx="15">
                  <c:v>43942</c:v>
                </c:pt>
                <c:pt idx="16">
                  <c:v>43943</c:v>
                </c:pt>
                <c:pt idx="17">
                  <c:v>43944</c:v>
                </c:pt>
                <c:pt idx="18">
                  <c:v>43945</c:v>
                </c:pt>
                <c:pt idx="19">
                  <c:v>43946</c:v>
                </c:pt>
                <c:pt idx="20">
                  <c:v>43948</c:v>
                </c:pt>
                <c:pt idx="21">
                  <c:v>43949</c:v>
                </c:pt>
                <c:pt idx="22">
                  <c:v>43950</c:v>
                </c:pt>
                <c:pt idx="23">
                  <c:v>43951</c:v>
                </c:pt>
                <c:pt idx="24">
                  <c:v>43952</c:v>
                </c:pt>
                <c:pt idx="25">
                  <c:v>43953</c:v>
                </c:pt>
                <c:pt idx="26">
                  <c:v>43955</c:v>
                </c:pt>
                <c:pt idx="27">
                  <c:v>43956</c:v>
                </c:pt>
                <c:pt idx="28">
                  <c:v>43957</c:v>
                </c:pt>
                <c:pt idx="29">
                  <c:v>43958</c:v>
                </c:pt>
                <c:pt idx="30">
                  <c:v>43959</c:v>
                </c:pt>
                <c:pt idx="31">
                  <c:v>43960</c:v>
                </c:pt>
                <c:pt idx="32">
                  <c:v>43962</c:v>
                </c:pt>
                <c:pt idx="33">
                  <c:v>43963</c:v>
                </c:pt>
                <c:pt idx="34">
                  <c:v>43964</c:v>
                </c:pt>
                <c:pt idx="35">
                  <c:v>43965</c:v>
                </c:pt>
                <c:pt idx="36">
                  <c:v>43966</c:v>
                </c:pt>
                <c:pt idx="37">
                  <c:v>43967</c:v>
                </c:pt>
                <c:pt idx="38">
                  <c:v>43969</c:v>
                </c:pt>
                <c:pt idx="39">
                  <c:v>43970</c:v>
                </c:pt>
                <c:pt idx="40">
                  <c:v>43971</c:v>
                </c:pt>
                <c:pt idx="41">
                  <c:v>43972</c:v>
                </c:pt>
                <c:pt idx="42">
                  <c:v>43973</c:v>
                </c:pt>
                <c:pt idx="43">
                  <c:v>43974</c:v>
                </c:pt>
                <c:pt idx="44">
                  <c:v>43976</c:v>
                </c:pt>
                <c:pt idx="45">
                  <c:v>43977</c:v>
                </c:pt>
                <c:pt idx="46">
                  <c:v>43978</c:v>
                </c:pt>
                <c:pt idx="47">
                  <c:v>43979</c:v>
                </c:pt>
                <c:pt idx="48">
                  <c:v>43980</c:v>
                </c:pt>
                <c:pt idx="49">
                  <c:v>43981</c:v>
                </c:pt>
                <c:pt idx="50">
                  <c:v>43983</c:v>
                </c:pt>
                <c:pt idx="51">
                  <c:v>43984</c:v>
                </c:pt>
                <c:pt idx="52">
                  <c:v>43985</c:v>
                </c:pt>
                <c:pt idx="53">
                  <c:v>43986</c:v>
                </c:pt>
                <c:pt idx="54">
                  <c:v>43987</c:v>
                </c:pt>
                <c:pt idx="55">
                  <c:v>43988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Data'!$C$43:$BL$43</c15:sqref>
                  </c15:fullRef>
                </c:ext>
              </c:extLst>
              <c:f>'Graph Data'!$I$43:$BL$43</c:f>
              <c:numCache>
                <c:formatCode>0.0%</c:formatCode>
                <c:ptCount val="56"/>
                <c:pt idx="0">
                  <c:v>0.2</c:v>
                </c:pt>
                <c:pt idx="1">
                  <c:v>0.15384615384615385</c:v>
                </c:pt>
                <c:pt idx="2">
                  <c:v>0.10526315789473684</c:v>
                </c:pt>
                <c:pt idx="3">
                  <c:v>0.125</c:v>
                </c:pt>
                <c:pt idx="4">
                  <c:v>4.1666666666666664E-2</c:v>
                </c:pt>
                <c:pt idx="5">
                  <c:v>3.7974683544303799E-2</c:v>
                </c:pt>
                <c:pt idx="6">
                  <c:v>4.1666666666666664E-2</c:v>
                </c:pt>
                <c:pt idx="7">
                  <c:v>0.04</c:v>
                </c:pt>
                <c:pt idx="8">
                  <c:v>3.8834951456310676E-2</c:v>
                </c:pt>
                <c:pt idx="9">
                  <c:v>3.8834951456310676E-2</c:v>
                </c:pt>
                <c:pt idx="10">
                  <c:v>4.4247787610619468E-2</c:v>
                </c:pt>
                <c:pt idx="11">
                  <c:v>3.968253968253968E-2</c:v>
                </c:pt>
                <c:pt idx="12">
                  <c:v>3.6496350364963501E-2</c:v>
                </c:pt>
                <c:pt idx="13">
                  <c:v>3.4482758620689655E-2</c:v>
                </c:pt>
                <c:pt idx="14">
                  <c:v>0.04</c:v>
                </c:pt>
                <c:pt idx="15">
                  <c:v>3.8461538461538464E-2</c:v>
                </c:pt>
                <c:pt idx="16">
                  <c:v>3.7499999999999999E-2</c:v>
                </c:pt>
                <c:pt idx="17">
                  <c:v>3.3333333333333333E-2</c:v>
                </c:pt>
                <c:pt idx="18">
                  <c:v>2.9702970297029702E-2</c:v>
                </c:pt>
                <c:pt idx="19">
                  <c:v>2.9268292682926831E-2</c:v>
                </c:pt>
                <c:pt idx="20">
                  <c:v>2.843601895734597E-2</c:v>
                </c:pt>
                <c:pt idx="21">
                  <c:v>2.843601895734597E-2</c:v>
                </c:pt>
                <c:pt idx="22">
                  <c:v>2.7397260273972601E-2</c:v>
                </c:pt>
                <c:pt idx="23">
                  <c:v>2.6548672566371681E-2</c:v>
                </c:pt>
                <c:pt idx="24">
                  <c:v>2.4896265560165973E-2</c:v>
                </c:pt>
                <c:pt idx="25">
                  <c:v>2.4793388429752067E-2</c:v>
                </c:pt>
                <c:pt idx="26">
                  <c:v>2.4590163934426229E-2</c:v>
                </c:pt>
                <c:pt idx="27">
                  <c:v>2.8571428571428571E-2</c:v>
                </c:pt>
                <c:pt idx="28">
                  <c:v>2.8112449799196786E-2</c:v>
                </c:pt>
                <c:pt idx="29">
                  <c:v>2.8000000000000001E-2</c:v>
                </c:pt>
                <c:pt idx="30">
                  <c:v>2.7559055118110236E-2</c:v>
                </c:pt>
                <c:pt idx="31">
                  <c:v>2.7559055118110236E-2</c:v>
                </c:pt>
                <c:pt idx="32">
                  <c:v>2.7559055118110236E-2</c:v>
                </c:pt>
                <c:pt idx="33">
                  <c:v>2.7131782945736434E-2</c:v>
                </c:pt>
                <c:pt idx="34">
                  <c:v>2.7131782945736434E-2</c:v>
                </c:pt>
                <c:pt idx="35">
                  <c:v>2.7027027027027029E-2</c:v>
                </c:pt>
                <c:pt idx="36">
                  <c:v>2.681992337164751E-2</c:v>
                </c:pt>
                <c:pt idx="37">
                  <c:v>2.6515151515151516E-2</c:v>
                </c:pt>
                <c:pt idx="38">
                  <c:v>2.6515151515151516E-2</c:v>
                </c:pt>
                <c:pt idx="39">
                  <c:v>2.6515151515151516E-2</c:v>
                </c:pt>
                <c:pt idx="40">
                  <c:v>2.6217228464419477E-2</c:v>
                </c:pt>
                <c:pt idx="41">
                  <c:v>2.5735294117647058E-2</c:v>
                </c:pt>
                <c:pt idx="42">
                  <c:v>2.5547445255474453E-2</c:v>
                </c:pt>
                <c:pt idx="43">
                  <c:v>2.5454545454545455E-2</c:v>
                </c:pt>
                <c:pt idx="44">
                  <c:v>2.5454545454545455E-2</c:v>
                </c:pt>
                <c:pt idx="45">
                  <c:v>2.5362318840579712E-2</c:v>
                </c:pt>
                <c:pt idx="46">
                  <c:v>2.5179856115107913E-2</c:v>
                </c:pt>
                <c:pt idx="47">
                  <c:v>2.5000000000000001E-2</c:v>
                </c:pt>
                <c:pt idx="48">
                  <c:v>2.5000000000000001E-2</c:v>
                </c:pt>
                <c:pt idx="49">
                  <c:v>2.456140350877193E-2</c:v>
                </c:pt>
                <c:pt idx="50">
                  <c:v>2.456140350877193E-2</c:v>
                </c:pt>
                <c:pt idx="51">
                  <c:v>2.456140350877193E-2</c:v>
                </c:pt>
                <c:pt idx="52">
                  <c:v>2.4221453287197232E-2</c:v>
                </c:pt>
                <c:pt idx="53">
                  <c:v>2.4054982817869417E-2</c:v>
                </c:pt>
                <c:pt idx="54">
                  <c:v>2.4054982817869417E-2</c:v>
                </c:pt>
                <c:pt idx="55">
                  <c:v>2.4054982817869417E-2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86-4DDF-9669-15D1324CB2F6}"/>
            </c:ext>
          </c:extLst>
        </c:ser>
        <c:ser>
          <c:idx val="5"/>
          <c:order val="5"/>
          <c:tx>
            <c:strRef>
              <c:f>'Graph Data'!$B$44</c:f>
              <c:strCache>
                <c:ptCount val="1"/>
                <c:pt idx="0">
                  <c:v>Sask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'Graph Data'!$C$38:$BL$38</c15:sqref>
                  </c15:fullRef>
                </c:ext>
              </c:extLst>
              <c:f>'Graph Data'!$I$38:$BL$38</c:f>
              <c:numCache>
                <c:formatCode>m/d/yyyy</c:formatCode>
                <c:ptCount val="56"/>
                <c:pt idx="0">
                  <c:v>43924</c:v>
                </c:pt>
                <c:pt idx="1">
                  <c:v>43925</c:v>
                </c:pt>
                <c:pt idx="2">
                  <c:v>43927</c:v>
                </c:pt>
                <c:pt idx="3">
                  <c:v>43928</c:v>
                </c:pt>
                <c:pt idx="4">
                  <c:v>43929</c:v>
                </c:pt>
                <c:pt idx="5">
                  <c:v>43930</c:v>
                </c:pt>
                <c:pt idx="6">
                  <c:v>43931</c:v>
                </c:pt>
                <c:pt idx="7">
                  <c:v>43932</c:v>
                </c:pt>
                <c:pt idx="8">
                  <c:v>43934</c:v>
                </c:pt>
                <c:pt idx="9">
                  <c:v>43935</c:v>
                </c:pt>
                <c:pt idx="10">
                  <c:v>43936</c:v>
                </c:pt>
                <c:pt idx="11">
                  <c:v>43937</c:v>
                </c:pt>
                <c:pt idx="12">
                  <c:v>43938</c:v>
                </c:pt>
                <c:pt idx="13">
                  <c:v>43939</c:v>
                </c:pt>
                <c:pt idx="14">
                  <c:v>43941</c:v>
                </c:pt>
                <c:pt idx="15">
                  <c:v>43942</c:v>
                </c:pt>
                <c:pt idx="16">
                  <c:v>43943</c:v>
                </c:pt>
                <c:pt idx="17">
                  <c:v>43944</c:v>
                </c:pt>
                <c:pt idx="18">
                  <c:v>43945</c:v>
                </c:pt>
                <c:pt idx="19">
                  <c:v>43946</c:v>
                </c:pt>
                <c:pt idx="20">
                  <c:v>43948</c:v>
                </c:pt>
                <c:pt idx="21">
                  <c:v>43949</c:v>
                </c:pt>
                <c:pt idx="22">
                  <c:v>43950</c:v>
                </c:pt>
                <c:pt idx="23">
                  <c:v>43951</c:v>
                </c:pt>
                <c:pt idx="24">
                  <c:v>43952</c:v>
                </c:pt>
                <c:pt idx="25">
                  <c:v>43953</c:v>
                </c:pt>
                <c:pt idx="26">
                  <c:v>43955</c:v>
                </c:pt>
                <c:pt idx="27">
                  <c:v>43956</c:v>
                </c:pt>
                <c:pt idx="28">
                  <c:v>43957</c:v>
                </c:pt>
                <c:pt idx="29">
                  <c:v>43958</c:v>
                </c:pt>
                <c:pt idx="30">
                  <c:v>43959</c:v>
                </c:pt>
                <c:pt idx="31">
                  <c:v>43960</c:v>
                </c:pt>
                <c:pt idx="32">
                  <c:v>43962</c:v>
                </c:pt>
                <c:pt idx="33">
                  <c:v>43963</c:v>
                </c:pt>
                <c:pt idx="34">
                  <c:v>43964</c:v>
                </c:pt>
                <c:pt idx="35">
                  <c:v>43965</c:v>
                </c:pt>
                <c:pt idx="36">
                  <c:v>43966</c:v>
                </c:pt>
                <c:pt idx="37">
                  <c:v>43967</c:v>
                </c:pt>
                <c:pt idx="38">
                  <c:v>43969</c:v>
                </c:pt>
                <c:pt idx="39">
                  <c:v>43970</c:v>
                </c:pt>
                <c:pt idx="40">
                  <c:v>43971</c:v>
                </c:pt>
                <c:pt idx="41">
                  <c:v>43972</c:v>
                </c:pt>
                <c:pt idx="42">
                  <c:v>43973</c:v>
                </c:pt>
                <c:pt idx="43">
                  <c:v>43974</c:v>
                </c:pt>
                <c:pt idx="44">
                  <c:v>43976</c:v>
                </c:pt>
                <c:pt idx="45">
                  <c:v>43977</c:v>
                </c:pt>
                <c:pt idx="46">
                  <c:v>43978</c:v>
                </c:pt>
                <c:pt idx="47">
                  <c:v>43979</c:v>
                </c:pt>
                <c:pt idx="48">
                  <c:v>43980</c:v>
                </c:pt>
                <c:pt idx="49">
                  <c:v>43981</c:v>
                </c:pt>
                <c:pt idx="50">
                  <c:v>43983</c:v>
                </c:pt>
                <c:pt idx="51">
                  <c:v>43984</c:v>
                </c:pt>
                <c:pt idx="52">
                  <c:v>43985</c:v>
                </c:pt>
                <c:pt idx="53">
                  <c:v>43986</c:v>
                </c:pt>
                <c:pt idx="54">
                  <c:v>43987</c:v>
                </c:pt>
                <c:pt idx="55">
                  <c:v>43988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Data'!$C$44:$BL$44</c15:sqref>
                  </c15:fullRef>
                </c:ext>
              </c:extLst>
              <c:f>'Graph Data'!$I$44:$BL$44</c:f>
              <c:numCache>
                <c:formatCode>0.0%</c:formatCode>
                <c:ptCount val="56"/>
                <c:pt idx="0">
                  <c:v>5.8823529411764705E-2</c:v>
                </c:pt>
                <c:pt idx="1">
                  <c:v>5.1724137931034482E-2</c:v>
                </c:pt>
                <c:pt idx="2">
                  <c:v>3.5714285714285712E-2</c:v>
                </c:pt>
                <c:pt idx="3">
                  <c:v>3.2967032967032968E-2</c:v>
                </c:pt>
                <c:pt idx="4">
                  <c:v>2.8301886792452831E-2</c:v>
                </c:pt>
                <c:pt idx="5">
                  <c:v>2.5423728813559324E-2</c:v>
                </c:pt>
                <c:pt idx="6">
                  <c:v>2.1582733812949641E-2</c:v>
                </c:pt>
                <c:pt idx="7">
                  <c:v>2.6490066225165563E-2</c:v>
                </c:pt>
                <c:pt idx="8">
                  <c:v>2.197802197802198E-2</c:v>
                </c:pt>
                <c:pt idx="9">
                  <c:v>2.0942408376963352E-2</c:v>
                </c:pt>
                <c:pt idx="10">
                  <c:v>1.9138755980861243E-2</c:v>
                </c:pt>
                <c:pt idx="11">
                  <c:v>1.7937219730941704E-2</c:v>
                </c:pt>
                <c:pt idx="12">
                  <c:v>1.7241379310344827E-2</c:v>
                </c:pt>
                <c:pt idx="13">
                  <c:v>1.680672268907563E-2</c:v>
                </c:pt>
                <c:pt idx="14">
                  <c:v>1.6528925619834711E-2</c:v>
                </c:pt>
                <c:pt idx="15">
                  <c:v>1.5625E-2</c:v>
                </c:pt>
                <c:pt idx="16">
                  <c:v>1.509433962264151E-2</c:v>
                </c:pt>
                <c:pt idx="17">
                  <c:v>1.4598540145985401E-2</c:v>
                </c:pt>
                <c:pt idx="18">
                  <c:v>1.4084507042253521E-2</c:v>
                </c:pt>
                <c:pt idx="19">
                  <c:v>1.3698630136986301E-2</c:v>
                </c:pt>
                <c:pt idx="20">
                  <c:v>1.7064846416382253E-2</c:v>
                </c:pt>
                <c:pt idx="21">
                  <c:v>1.6891891891891893E-2</c:v>
                </c:pt>
                <c:pt idx="22">
                  <c:v>2.0202020202020204E-2</c:v>
                </c:pt>
                <c:pt idx="23">
                  <c:v>1.9933554817275746E-2</c:v>
                </c:pt>
                <c:pt idx="24">
                  <c:v>1.9801980198019802E-2</c:v>
                </c:pt>
                <c:pt idx="25">
                  <c:v>1.948051948051948E-2</c:v>
                </c:pt>
                <c:pt idx="26">
                  <c:v>1.9169329073482427E-2</c:v>
                </c:pt>
                <c:pt idx="27">
                  <c:v>1.8987341772151899E-2</c:v>
                </c:pt>
                <c:pt idx="28">
                  <c:v>1.8867924528301886E-2</c:v>
                </c:pt>
                <c:pt idx="29">
                  <c:v>1.7910447761194031E-2</c:v>
                </c:pt>
                <c:pt idx="30">
                  <c:v>1.7595307917888565E-2</c:v>
                </c:pt>
                <c:pt idx="31">
                  <c:v>1.7341040462427744E-2</c:v>
                </c:pt>
                <c:pt idx="32">
                  <c:v>1.6260162601626018E-2</c:v>
                </c:pt>
                <c:pt idx="33">
                  <c:v>1.5789473684210527E-2</c:v>
                </c:pt>
                <c:pt idx="34">
                  <c:v>1.5345268542199489E-2</c:v>
                </c:pt>
                <c:pt idx="35">
                  <c:v>1.4851485148514851E-2</c:v>
                </c:pt>
                <c:pt idx="36">
                  <c:v>1.4492753623188406E-2</c:v>
                </c:pt>
                <c:pt idx="37">
                  <c:v>1.366742596810934E-2</c:v>
                </c:pt>
                <c:pt idx="38">
                  <c:v>1.3015184381778741E-2</c:v>
                </c:pt>
                <c:pt idx="39">
                  <c:v>1.2605042016806723E-2</c:v>
                </c:pt>
                <c:pt idx="40">
                  <c:v>1.3972055888223553E-2</c:v>
                </c:pt>
                <c:pt idx="41">
                  <c:v>1.3565891472868217E-2</c:v>
                </c:pt>
                <c:pt idx="42">
                  <c:v>1.3257575757575758E-2</c:v>
                </c:pt>
                <c:pt idx="43">
                  <c:v>1.2915129151291513E-2</c:v>
                </c:pt>
                <c:pt idx="44">
                  <c:v>1.2658227848101266E-2</c:v>
                </c:pt>
                <c:pt idx="45">
                  <c:v>1.4362657091561939E-2</c:v>
                </c:pt>
                <c:pt idx="46">
                  <c:v>1.7574692442882251E-2</c:v>
                </c:pt>
                <c:pt idx="47">
                  <c:v>1.7301038062283738E-2</c:v>
                </c:pt>
                <c:pt idx="48">
                  <c:v>1.7241379310344827E-2</c:v>
                </c:pt>
                <c:pt idx="49">
                  <c:v>1.6949152542372881E-2</c:v>
                </c:pt>
                <c:pt idx="50">
                  <c:v>1.8363939899833055E-2</c:v>
                </c:pt>
                <c:pt idx="51">
                  <c:v>1.794453507340946E-2</c:v>
                </c:pt>
                <c:pt idx="52">
                  <c:v>1.794453507340946E-2</c:v>
                </c:pt>
                <c:pt idx="53">
                  <c:v>1.7770597738287562E-2</c:v>
                </c:pt>
                <c:pt idx="54">
                  <c:v>1.7684887459807074E-2</c:v>
                </c:pt>
                <c:pt idx="55">
                  <c:v>1.7684887459807074E-2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86-4DDF-9669-15D1324CB2F6}"/>
            </c:ext>
          </c:extLst>
        </c:ser>
        <c:ser>
          <c:idx val="6"/>
          <c:order val="6"/>
          <c:tx>
            <c:strRef>
              <c:f>'Graph Data'!$B$45</c:f>
              <c:strCache>
                <c:ptCount val="1"/>
                <c:pt idx="0">
                  <c:v>Maritimes</c:v>
                </c:pt>
              </c:strCache>
            </c:strRef>
          </c:tx>
          <c:spPr>
            <a:ln w="381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'Graph Data'!$C$38:$BL$38</c15:sqref>
                  </c15:fullRef>
                </c:ext>
              </c:extLst>
              <c:f>'Graph Data'!$I$38:$BL$38</c:f>
              <c:numCache>
                <c:formatCode>m/d/yyyy</c:formatCode>
                <c:ptCount val="56"/>
                <c:pt idx="0">
                  <c:v>43924</c:v>
                </c:pt>
                <c:pt idx="1">
                  <c:v>43925</c:v>
                </c:pt>
                <c:pt idx="2">
                  <c:v>43927</c:v>
                </c:pt>
                <c:pt idx="3">
                  <c:v>43928</c:v>
                </c:pt>
                <c:pt idx="4">
                  <c:v>43929</c:v>
                </c:pt>
                <c:pt idx="5">
                  <c:v>43930</c:v>
                </c:pt>
                <c:pt idx="6">
                  <c:v>43931</c:v>
                </c:pt>
                <c:pt idx="7">
                  <c:v>43932</c:v>
                </c:pt>
                <c:pt idx="8">
                  <c:v>43934</c:v>
                </c:pt>
                <c:pt idx="9">
                  <c:v>43935</c:v>
                </c:pt>
                <c:pt idx="10">
                  <c:v>43936</c:v>
                </c:pt>
                <c:pt idx="11">
                  <c:v>43937</c:v>
                </c:pt>
                <c:pt idx="12">
                  <c:v>43938</c:v>
                </c:pt>
                <c:pt idx="13">
                  <c:v>43939</c:v>
                </c:pt>
                <c:pt idx="14">
                  <c:v>43941</c:v>
                </c:pt>
                <c:pt idx="15">
                  <c:v>43942</c:v>
                </c:pt>
                <c:pt idx="16">
                  <c:v>43943</c:v>
                </c:pt>
                <c:pt idx="17">
                  <c:v>43944</c:v>
                </c:pt>
                <c:pt idx="18">
                  <c:v>43945</c:v>
                </c:pt>
                <c:pt idx="19">
                  <c:v>43946</c:v>
                </c:pt>
                <c:pt idx="20">
                  <c:v>43948</c:v>
                </c:pt>
                <c:pt idx="21">
                  <c:v>43949</c:v>
                </c:pt>
                <c:pt idx="22">
                  <c:v>43950</c:v>
                </c:pt>
                <c:pt idx="23">
                  <c:v>43951</c:v>
                </c:pt>
                <c:pt idx="24">
                  <c:v>43952</c:v>
                </c:pt>
                <c:pt idx="25">
                  <c:v>43953</c:v>
                </c:pt>
                <c:pt idx="26">
                  <c:v>43955</c:v>
                </c:pt>
                <c:pt idx="27">
                  <c:v>43956</c:v>
                </c:pt>
                <c:pt idx="28">
                  <c:v>43957</c:v>
                </c:pt>
                <c:pt idx="29">
                  <c:v>43958</c:v>
                </c:pt>
                <c:pt idx="30">
                  <c:v>43959</c:v>
                </c:pt>
                <c:pt idx="31">
                  <c:v>43960</c:v>
                </c:pt>
                <c:pt idx="32">
                  <c:v>43962</c:v>
                </c:pt>
                <c:pt idx="33">
                  <c:v>43963</c:v>
                </c:pt>
                <c:pt idx="34">
                  <c:v>43964</c:v>
                </c:pt>
                <c:pt idx="35">
                  <c:v>43965</c:v>
                </c:pt>
                <c:pt idx="36">
                  <c:v>43966</c:v>
                </c:pt>
                <c:pt idx="37">
                  <c:v>43967</c:v>
                </c:pt>
                <c:pt idx="38">
                  <c:v>43969</c:v>
                </c:pt>
                <c:pt idx="39">
                  <c:v>43970</c:v>
                </c:pt>
                <c:pt idx="40">
                  <c:v>43971</c:v>
                </c:pt>
                <c:pt idx="41">
                  <c:v>43972</c:v>
                </c:pt>
                <c:pt idx="42">
                  <c:v>43973</c:v>
                </c:pt>
                <c:pt idx="43">
                  <c:v>43974</c:v>
                </c:pt>
                <c:pt idx="44">
                  <c:v>43976</c:v>
                </c:pt>
                <c:pt idx="45">
                  <c:v>43977</c:v>
                </c:pt>
                <c:pt idx="46">
                  <c:v>43978</c:v>
                </c:pt>
                <c:pt idx="47">
                  <c:v>43979</c:v>
                </c:pt>
                <c:pt idx="48">
                  <c:v>43980</c:v>
                </c:pt>
                <c:pt idx="49">
                  <c:v>43981</c:v>
                </c:pt>
                <c:pt idx="50">
                  <c:v>43983</c:v>
                </c:pt>
                <c:pt idx="51">
                  <c:v>43984</c:v>
                </c:pt>
                <c:pt idx="52">
                  <c:v>43985</c:v>
                </c:pt>
                <c:pt idx="53">
                  <c:v>43986</c:v>
                </c:pt>
                <c:pt idx="54">
                  <c:v>43987</c:v>
                </c:pt>
                <c:pt idx="55">
                  <c:v>43988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Data'!$C$45:$BL$45</c15:sqref>
                  </c15:fullRef>
                </c:ext>
              </c:extLst>
              <c:f>'Graph Data'!$I$45:$BL$45</c:f>
              <c:numCache>
                <c:formatCode>0.0%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8.771929824561403E-3</c:v>
                </c:pt>
                <c:pt idx="4">
                  <c:v>6.8965517241379309E-3</c:v>
                </c:pt>
                <c:pt idx="5">
                  <c:v>1.2987012987012988E-2</c:v>
                </c:pt>
                <c:pt idx="6">
                  <c:v>1.1627906976744186E-2</c:v>
                </c:pt>
                <c:pt idx="7">
                  <c:v>1.0869565217391304E-2</c:v>
                </c:pt>
                <c:pt idx="8">
                  <c:v>1.4925373134328358E-2</c:v>
                </c:pt>
                <c:pt idx="9">
                  <c:v>1.3333333333333334E-2</c:v>
                </c:pt>
                <c:pt idx="10">
                  <c:v>1.2500000000000001E-2</c:v>
                </c:pt>
                <c:pt idx="11">
                  <c:v>1.0638297872340425E-2</c:v>
                </c:pt>
                <c:pt idx="12">
                  <c:v>1.3937282229965157E-2</c:v>
                </c:pt>
                <c:pt idx="13">
                  <c:v>2.3255813953488372E-2</c:v>
                </c:pt>
                <c:pt idx="14">
                  <c:v>2.3809523809523808E-2</c:v>
                </c:pt>
                <c:pt idx="15">
                  <c:v>2.3752969121140142E-2</c:v>
                </c:pt>
                <c:pt idx="16">
                  <c:v>2.553191489361702E-2</c:v>
                </c:pt>
                <c:pt idx="17">
                  <c:v>3.1872509960159362E-2</c:v>
                </c:pt>
                <c:pt idx="18">
                  <c:v>2.9684601113172542E-2</c:v>
                </c:pt>
                <c:pt idx="19">
                  <c:v>3.8938053097345132E-2</c:v>
                </c:pt>
                <c:pt idx="20">
                  <c:v>3.5874439461883408E-2</c:v>
                </c:pt>
                <c:pt idx="21">
                  <c:v>3.9416058394160583E-2</c:v>
                </c:pt>
                <c:pt idx="22">
                  <c:v>4.0287769784172658E-2</c:v>
                </c:pt>
                <c:pt idx="23">
                  <c:v>3.9381153305203941E-2</c:v>
                </c:pt>
                <c:pt idx="24">
                  <c:v>3.8107752956636008E-2</c:v>
                </c:pt>
                <c:pt idx="25">
                  <c:v>3.9641943734015347E-2</c:v>
                </c:pt>
                <c:pt idx="26">
                  <c:v>4.63980463980464E-2</c:v>
                </c:pt>
                <c:pt idx="27">
                  <c:v>4.9043062200956937E-2</c:v>
                </c:pt>
                <c:pt idx="28">
                  <c:v>4.8463356973995272E-2</c:v>
                </c:pt>
                <c:pt idx="29">
                  <c:v>4.9107142857142856E-2</c:v>
                </c:pt>
                <c:pt idx="30">
                  <c:v>5.0383351588170866E-2</c:v>
                </c:pt>
                <c:pt idx="31">
                  <c:v>5.0267379679144387E-2</c:v>
                </c:pt>
                <c:pt idx="32">
                  <c:v>0.05</c:v>
                </c:pt>
                <c:pt idx="33">
                  <c:v>4.5411542100283822E-2</c:v>
                </c:pt>
                <c:pt idx="34">
                  <c:v>4.7842401500938089E-2</c:v>
                </c:pt>
                <c:pt idx="35">
                  <c:v>4.6153846153846156E-2</c:v>
                </c:pt>
                <c:pt idx="36">
                  <c:v>4.9151027703306524E-2</c:v>
                </c:pt>
                <c:pt idx="37">
                  <c:v>4.8586572438162542E-2</c:v>
                </c:pt>
                <c:pt idx="38">
                  <c:v>4.7909407665505228E-2</c:v>
                </c:pt>
                <c:pt idx="39">
                  <c:v>4.8317515099223468E-2</c:v>
                </c:pt>
                <c:pt idx="40">
                  <c:v>4.913793103448276E-2</c:v>
                </c:pt>
                <c:pt idx="41">
                  <c:v>4.9828178694158079E-2</c:v>
                </c:pt>
                <c:pt idx="42">
                  <c:v>4.974271012006861E-2</c:v>
                </c:pt>
                <c:pt idx="43">
                  <c:v>4.9403747870528106E-2</c:v>
                </c:pt>
                <c:pt idx="44">
                  <c:v>4.9194232400339273E-2</c:v>
                </c:pt>
                <c:pt idx="45">
                  <c:v>4.9915397631133673E-2</c:v>
                </c:pt>
                <c:pt idx="46">
                  <c:v>4.9957662997459781E-2</c:v>
                </c:pt>
                <c:pt idx="47">
                  <c:v>4.9873203719357564E-2</c:v>
                </c:pt>
                <c:pt idx="48">
                  <c:v>4.9831081081081079E-2</c:v>
                </c:pt>
                <c:pt idx="49">
                  <c:v>5.0632911392405063E-2</c:v>
                </c:pt>
                <c:pt idx="50">
                  <c:v>5.0377833753148617E-2</c:v>
                </c:pt>
                <c:pt idx="51">
                  <c:v>5.0041701417848208E-2</c:v>
                </c:pt>
                <c:pt idx="52">
                  <c:v>0.05</c:v>
                </c:pt>
                <c:pt idx="53">
                  <c:v>5.1495016611295678E-2</c:v>
                </c:pt>
                <c:pt idx="54">
                  <c:v>5.140961857379768E-2</c:v>
                </c:pt>
                <c:pt idx="55">
                  <c:v>5.1324503311258277E-2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86-4DDF-9669-15D1324CB2F6}"/>
            </c:ext>
          </c:extLst>
        </c:ser>
        <c:ser>
          <c:idx val="9"/>
          <c:order val="7"/>
          <c:tx>
            <c:strRef>
              <c:f>'Graph Data'!$B$46</c:f>
              <c:strCache>
                <c:ptCount val="1"/>
                <c:pt idx="0">
                  <c:v>NFLD</c:v>
                </c:pt>
              </c:strCache>
            </c:strRef>
          </c:tx>
          <c:spPr>
            <a:ln w="381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'Graph Data'!$C$38:$BL$38</c15:sqref>
                  </c15:fullRef>
                </c:ext>
              </c:extLst>
              <c:f>'Graph Data'!$I$38:$BL$38</c:f>
              <c:numCache>
                <c:formatCode>m/d/yyyy</c:formatCode>
                <c:ptCount val="56"/>
                <c:pt idx="0">
                  <c:v>43924</c:v>
                </c:pt>
                <c:pt idx="1">
                  <c:v>43925</c:v>
                </c:pt>
                <c:pt idx="2">
                  <c:v>43927</c:v>
                </c:pt>
                <c:pt idx="3">
                  <c:v>43928</c:v>
                </c:pt>
                <c:pt idx="4">
                  <c:v>43929</c:v>
                </c:pt>
                <c:pt idx="5">
                  <c:v>43930</c:v>
                </c:pt>
                <c:pt idx="6">
                  <c:v>43931</c:v>
                </c:pt>
                <c:pt idx="7">
                  <c:v>43932</c:v>
                </c:pt>
                <c:pt idx="8">
                  <c:v>43934</c:v>
                </c:pt>
                <c:pt idx="9">
                  <c:v>43935</c:v>
                </c:pt>
                <c:pt idx="10">
                  <c:v>43936</c:v>
                </c:pt>
                <c:pt idx="11">
                  <c:v>43937</c:v>
                </c:pt>
                <c:pt idx="12">
                  <c:v>43938</c:v>
                </c:pt>
                <c:pt idx="13">
                  <c:v>43939</c:v>
                </c:pt>
                <c:pt idx="14">
                  <c:v>43941</c:v>
                </c:pt>
                <c:pt idx="15">
                  <c:v>43942</c:v>
                </c:pt>
                <c:pt idx="16">
                  <c:v>43943</c:v>
                </c:pt>
                <c:pt idx="17">
                  <c:v>43944</c:v>
                </c:pt>
                <c:pt idx="18">
                  <c:v>43945</c:v>
                </c:pt>
                <c:pt idx="19">
                  <c:v>43946</c:v>
                </c:pt>
                <c:pt idx="20">
                  <c:v>43948</c:v>
                </c:pt>
                <c:pt idx="21">
                  <c:v>43949</c:v>
                </c:pt>
                <c:pt idx="22">
                  <c:v>43950</c:v>
                </c:pt>
                <c:pt idx="23">
                  <c:v>43951</c:v>
                </c:pt>
                <c:pt idx="24">
                  <c:v>43952</c:v>
                </c:pt>
                <c:pt idx="25">
                  <c:v>43953</c:v>
                </c:pt>
                <c:pt idx="26">
                  <c:v>43955</c:v>
                </c:pt>
                <c:pt idx="27">
                  <c:v>43956</c:v>
                </c:pt>
                <c:pt idx="28">
                  <c:v>43957</c:v>
                </c:pt>
                <c:pt idx="29">
                  <c:v>43958</c:v>
                </c:pt>
                <c:pt idx="30">
                  <c:v>43959</c:v>
                </c:pt>
                <c:pt idx="31">
                  <c:v>43960</c:v>
                </c:pt>
                <c:pt idx="32">
                  <c:v>43962</c:v>
                </c:pt>
                <c:pt idx="33">
                  <c:v>43963</c:v>
                </c:pt>
                <c:pt idx="34">
                  <c:v>43964</c:v>
                </c:pt>
                <c:pt idx="35">
                  <c:v>43965</c:v>
                </c:pt>
                <c:pt idx="36">
                  <c:v>43966</c:v>
                </c:pt>
                <c:pt idx="37">
                  <c:v>43967</c:v>
                </c:pt>
                <c:pt idx="38">
                  <c:v>43969</c:v>
                </c:pt>
                <c:pt idx="39">
                  <c:v>43970</c:v>
                </c:pt>
                <c:pt idx="40">
                  <c:v>43971</c:v>
                </c:pt>
                <c:pt idx="41">
                  <c:v>43972</c:v>
                </c:pt>
                <c:pt idx="42">
                  <c:v>43973</c:v>
                </c:pt>
                <c:pt idx="43">
                  <c:v>43974</c:v>
                </c:pt>
                <c:pt idx="44">
                  <c:v>43976</c:v>
                </c:pt>
                <c:pt idx="45">
                  <c:v>43977</c:v>
                </c:pt>
                <c:pt idx="46">
                  <c:v>43978</c:v>
                </c:pt>
                <c:pt idx="47">
                  <c:v>43979</c:v>
                </c:pt>
                <c:pt idx="48">
                  <c:v>43980</c:v>
                </c:pt>
                <c:pt idx="49">
                  <c:v>43981</c:v>
                </c:pt>
                <c:pt idx="50">
                  <c:v>43983</c:v>
                </c:pt>
                <c:pt idx="51">
                  <c:v>43984</c:v>
                </c:pt>
                <c:pt idx="52">
                  <c:v>43985</c:v>
                </c:pt>
                <c:pt idx="53">
                  <c:v>43986</c:v>
                </c:pt>
                <c:pt idx="54">
                  <c:v>43987</c:v>
                </c:pt>
                <c:pt idx="55">
                  <c:v>43988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Data'!$C$46:$BL$46</c15:sqref>
                  </c15:fullRef>
                </c:ext>
              </c:extLst>
              <c:f>'Graph Data'!$I$46:$BL$46</c:f>
              <c:numCache>
                <c:formatCode>0.0%</c:formatCode>
                <c:ptCount val="56"/>
                <c:pt idx="0">
                  <c:v>0.1111111111111111</c:v>
                </c:pt>
                <c:pt idx="1">
                  <c:v>5.2631578947368418E-2</c:v>
                </c:pt>
                <c:pt idx="2">
                  <c:v>5.8823529411764705E-2</c:v>
                </c:pt>
                <c:pt idx="3">
                  <c:v>3.9215686274509803E-2</c:v>
                </c:pt>
                <c:pt idx="4">
                  <c:v>2.6315789473684209E-2</c:v>
                </c:pt>
                <c:pt idx="5">
                  <c:v>2.0408163265306121E-2</c:v>
                </c:pt>
                <c:pt idx="6">
                  <c:v>1.9047619047619049E-2</c:v>
                </c:pt>
                <c:pt idx="7">
                  <c:v>1.6393442622950821E-2</c:v>
                </c:pt>
                <c:pt idx="8">
                  <c:v>1.6393442622950821E-2</c:v>
                </c:pt>
                <c:pt idx="9">
                  <c:v>1.9736842105263157E-2</c:v>
                </c:pt>
                <c:pt idx="10">
                  <c:v>1.8518518518518517E-2</c:v>
                </c:pt>
                <c:pt idx="11">
                  <c:v>1.7341040462427744E-2</c:v>
                </c:pt>
                <c:pt idx="12">
                  <c:v>1.6759776536312849E-2</c:v>
                </c:pt>
                <c:pt idx="13">
                  <c:v>1.5625E-2</c:v>
                </c:pt>
                <c:pt idx="14">
                  <c:v>1.5463917525773196E-2</c:v>
                </c:pt>
                <c:pt idx="15">
                  <c:v>1.5228426395939087E-2</c:v>
                </c:pt>
                <c:pt idx="16">
                  <c:v>1.4851485148514851E-2</c:v>
                </c:pt>
                <c:pt idx="17">
                  <c:v>1.4423076923076924E-2</c:v>
                </c:pt>
                <c:pt idx="18">
                  <c:v>1.4285714285714285E-2</c:v>
                </c:pt>
                <c:pt idx="19">
                  <c:v>1.4218009478672985E-2</c:v>
                </c:pt>
                <c:pt idx="20">
                  <c:v>1.3392857142857142E-2</c:v>
                </c:pt>
                <c:pt idx="21">
                  <c:v>1.3333333333333334E-2</c:v>
                </c:pt>
                <c:pt idx="22">
                  <c:v>1.3333333333333334E-2</c:v>
                </c:pt>
                <c:pt idx="23">
                  <c:v>1.3157894736842105E-2</c:v>
                </c:pt>
                <c:pt idx="24">
                  <c:v>1.2875536480686695E-2</c:v>
                </c:pt>
                <c:pt idx="25">
                  <c:v>1.282051282051282E-2</c:v>
                </c:pt>
                <c:pt idx="26">
                  <c:v>1.2711864406779662E-2</c:v>
                </c:pt>
                <c:pt idx="27">
                  <c:v>1.2295081967213115E-2</c:v>
                </c:pt>
                <c:pt idx="28">
                  <c:v>1.2145748987854251E-2</c:v>
                </c:pt>
                <c:pt idx="29">
                  <c:v>1.2145748987854251E-2</c:v>
                </c:pt>
                <c:pt idx="30">
                  <c:v>1.2145748987854251E-2</c:v>
                </c:pt>
                <c:pt idx="31">
                  <c:v>1.2145748987854251E-2</c:v>
                </c:pt>
                <c:pt idx="32">
                  <c:v>1.2145748987854251E-2</c:v>
                </c:pt>
                <c:pt idx="33">
                  <c:v>1.2145748987854251E-2</c:v>
                </c:pt>
                <c:pt idx="34">
                  <c:v>1.2E-2</c:v>
                </c:pt>
                <c:pt idx="35">
                  <c:v>1.1952191235059761E-2</c:v>
                </c:pt>
                <c:pt idx="36">
                  <c:v>1.1952191235059761E-2</c:v>
                </c:pt>
                <c:pt idx="37">
                  <c:v>1.1904761904761904E-2</c:v>
                </c:pt>
                <c:pt idx="38">
                  <c:v>1.1904761904761904E-2</c:v>
                </c:pt>
                <c:pt idx="39">
                  <c:v>1.1857707509881422E-2</c:v>
                </c:pt>
                <c:pt idx="40">
                  <c:v>1.1904761904761904E-2</c:v>
                </c:pt>
                <c:pt idx="41">
                  <c:v>1.171875E-2</c:v>
                </c:pt>
                <c:pt idx="42">
                  <c:v>1.171875E-2</c:v>
                </c:pt>
                <c:pt idx="43">
                  <c:v>1.1673151750972763E-2</c:v>
                </c:pt>
                <c:pt idx="44">
                  <c:v>1.1673151750972763E-2</c:v>
                </c:pt>
                <c:pt idx="45">
                  <c:v>1.1627906976744186E-2</c:v>
                </c:pt>
                <c:pt idx="46">
                  <c:v>1.1627906976744186E-2</c:v>
                </c:pt>
                <c:pt idx="47">
                  <c:v>1.1627906976744186E-2</c:v>
                </c:pt>
                <c:pt idx="48">
                  <c:v>1.1627906976744186E-2</c:v>
                </c:pt>
                <c:pt idx="49">
                  <c:v>1.1627906976744186E-2</c:v>
                </c:pt>
                <c:pt idx="50">
                  <c:v>1.1627906976744186E-2</c:v>
                </c:pt>
                <c:pt idx="51">
                  <c:v>1.1583011583011582E-2</c:v>
                </c:pt>
                <c:pt idx="52">
                  <c:v>1.1583011583011582E-2</c:v>
                </c:pt>
                <c:pt idx="53">
                  <c:v>1.1583011583011582E-2</c:v>
                </c:pt>
                <c:pt idx="54">
                  <c:v>1.1583011583011582E-2</c:v>
                </c:pt>
                <c:pt idx="55">
                  <c:v>1.1583011583011582E-2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D86-4DDF-9669-15D1324CB2F6}"/>
            </c:ext>
          </c:extLst>
        </c:ser>
        <c:ser>
          <c:idx val="10"/>
          <c:order val="8"/>
          <c:tx>
            <c:strRef>
              <c:f>'Graph Data'!$B$47</c:f>
              <c:strCache>
                <c:ptCount val="1"/>
                <c:pt idx="0">
                  <c:v>Canada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'Graph Data'!$C$38:$BL$38</c15:sqref>
                  </c15:fullRef>
                </c:ext>
              </c:extLst>
              <c:f>'Graph Data'!$I$38:$BL$38</c:f>
              <c:numCache>
                <c:formatCode>m/d/yyyy</c:formatCode>
                <c:ptCount val="56"/>
                <c:pt idx="0">
                  <c:v>43924</c:v>
                </c:pt>
                <c:pt idx="1">
                  <c:v>43925</c:v>
                </c:pt>
                <c:pt idx="2">
                  <c:v>43927</c:v>
                </c:pt>
                <c:pt idx="3">
                  <c:v>43928</c:v>
                </c:pt>
                <c:pt idx="4">
                  <c:v>43929</c:v>
                </c:pt>
                <c:pt idx="5">
                  <c:v>43930</c:v>
                </c:pt>
                <c:pt idx="6">
                  <c:v>43931</c:v>
                </c:pt>
                <c:pt idx="7">
                  <c:v>43932</c:v>
                </c:pt>
                <c:pt idx="8">
                  <c:v>43934</c:v>
                </c:pt>
                <c:pt idx="9">
                  <c:v>43935</c:v>
                </c:pt>
                <c:pt idx="10">
                  <c:v>43936</c:v>
                </c:pt>
                <c:pt idx="11">
                  <c:v>43937</c:v>
                </c:pt>
                <c:pt idx="12">
                  <c:v>43938</c:v>
                </c:pt>
                <c:pt idx="13">
                  <c:v>43939</c:v>
                </c:pt>
                <c:pt idx="14">
                  <c:v>43941</c:v>
                </c:pt>
                <c:pt idx="15">
                  <c:v>43942</c:v>
                </c:pt>
                <c:pt idx="16">
                  <c:v>43943</c:v>
                </c:pt>
                <c:pt idx="17">
                  <c:v>43944</c:v>
                </c:pt>
                <c:pt idx="18">
                  <c:v>43945</c:v>
                </c:pt>
                <c:pt idx="19">
                  <c:v>43946</c:v>
                </c:pt>
                <c:pt idx="20">
                  <c:v>43948</c:v>
                </c:pt>
                <c:pt idx="21">
                  <c:v>43949</c:v>
                </c:pt>
                <c:pt idx="22">
                  <c:v>43950</c:v>
                </c:pt>
                <c:pt idx="23">
                  <c:v>43951</c:v>
                </c:pt>
                <c:pt idx="24">
                  <c:v>43952</c:v>
                </c:pt>
                <c:pt idx="25">
                  <c:v>43953</c:v>
                </c:pt>
                <c:pt idx="26">
                  <c:v>43955</c:v>
                </c:pt>
                <c:pt idx="27">
                  <c:v>43956</c:v>
                </c:pt>
                <c:pt idx="28">
                  <c:v>43957</c:v>
                </c:pt>
                <c:pt idx="29">
                  <c:v>43958</c:v>
                </c:pt>
                <c:pt idx="30">
                  <c:v>43959</c:v>
                </c:pt>
                <c:pt idx="31">
                  <c:v>43960</c:v>
                </c:pt>
                <c:pt idx="32">
                  <c:v>43962</c:v>
                </c:pt>
                <c:pt idx="33">
                  <c:v>43963</c:v>
                </c:pt>
                <c:pt idx="34">
                  <c:v>43964</c:v>
                </c:pt>
                <c:pt idx="35">
                  <c:v>43965</c:v>
                </c:pt>
                <c:pt idx="36">
                  <c:v>43966</c:v>
                </c:pt>
                <c:pt idx="37">
                  <c:v>43967</c:v>
                </c:pt>
                <c:pt idx="38">
                  <c:v>43969</c:v>
                </c:pt>
                <c:pt idx="39">
                  <c:v>43970</c:v>
                </c:pt>
                <c:pt idx="40">
                  <c:v>43971</c:v>
                </c:pt>
                <c:pt idx="41">
                  <c:v>43972</c:v>
                </c:pt>
                <c:pt idx="42">
                  <c:v>43973</c:v>
                </c:pt>
                <c:pt idx="43">
                  <c:v>43974</c:v>
                </c:pt>
                <c:pt idx="44">
                  <c:v>43976</c:v>
                </c:pt>
                <c:pt idx="45">
                  <c:v>43977</c:v>
                </c:pt>
                <c:pt idx="46">
                  <c:v>43978</c:v>
                </c:pt>
                <c:pt idx="47">
                  <c:v>43979</c:v>
                </c:pt>
                <c:pt idx="48">
                  <c:v>43980</c:v>
                </c:pt>
                <c:pt idx="49">
                  <c:v>43981</c:v>
                </c:pt>
                <c:pt idx="50">
                  <c:v>43983</c:v>
                </c:pt>
                <c:pt idx="51">
                  <c:v>43984</c:v>
                </c:pt>
                <c:pt idx="52">
                  <c:v>43985</c:v>
                </c:pt>
                <c:pt idx="53">
                  <c:v>43986</c:v>
                </c:pt>
                <c:pt idx="54">
                  <c:v>43987</c:v>
                </c:pt>
                <c:pt idx="55">
                  <c:v>43988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Data'!$C$47:$BL$47</c15:sqref>
                  </c15:fullRef>
                </c:ext>
              </c:extLst>
              <c:f>'Graph Data'!$I$47:$BL$47</c:f>
              <c:numCache>
                <c:formatCode>0.0%</c:formatCode>
                <c:ptCount val="56"/>
                <c:pt idx="0">
                  <c:v>7.4285714285714288E-2</c:v>
                </c:pt>
                <c:pt idx="1">
                  <c:v>8.2157968970380815E-2</c:v>
                </c:pt>
                <c:pt idx="2">
                  <c:v>8.3506224066390036E-2</c:v>
                </c:pt>
                <c:pt idx="3">
                  <c:v>8.5985104942450916E-2</c:v>
                </c:pt>
                <c:pt idx="4">
                  <c:v>8.5495283018867926E-2</c:v>
                </c:pt>
                <c:pt idx="5">
                  <c:v>8.7457044673539514E-2</c:v>
                </c:pt>
                <c:pt idx="6">
                  <c:v>8.6447888179884538E-2</c:v>
                </c:pt>
                <c:pt idx="7">
                  <c:v>9.2218613190227366E-2</c:v>
                </c:pt>
                <c:pt idx="8">
                  <c:v>9.1377694470477971E-2</c:v>
                </c:pt>
                <c:pt idx="9">
                  <c:v>9.8695032350038375E-2</c:v>
                </c:pt>
                <c:pt idx="10">
                  <c:v>0.10111122234457903</c:v>
                </c:pt>
                <c:pt idx="11">
                  <c:v>0.10947368421052632</c:v>
                </c:pt>
                <c:pt idx="12">
                  <c:v>0.11052054332236565</c:v>
                </c:pt>
                <c:pt idx="13">
                  <c:v>0.11595803423522916</c:v>
                </c:pt>
                <c:pt idx="14">
                  <c:v>0.11838049873914262</c:v>
                </c:pt>
                <c:pt idx="15">
                  <c:v>0.12208760484622554</c:v>
                </c:pt>
                <c:pt idx="16">
                  <c:v>0.12368421052631579</c:v>
                </c:pt>
                <c:pt idx="17">
                  <c:v>0.12698131062219067</c:v>
                </c:pt>
                <c:pt idx="18">
                  <c:v>0.12901417922995012</c:v>
                </c:pt>
                <c:pt idx="19">
                  <c:v>0.13049232398094229</c:v>
                </c:pt>
                <c:pt idx="20">
                  <c:v>0.12905840286054826</c:v>
                </c:pt>
                <c:pt idx="21">
                  <c:v>0.12942507922136715</c:v>
                </c:pt>
                <c:pt idx="22">
                  <c:v>0.12845688805042232</c:v>
                </c:pt>
                <c:pt idx="23">
                  <c:v>0.12939407485674809</c:v>
                </c:pt>
                <c:pt idx="24">
                  <c:v>0.12971463545252851</c:v>
                </c:pt>
                <c:pt idx="25">
                  <c:v>0.13030291957467022</c:v>
                </c:pt>
                <c:pt idx="26">
                  <c:v>0.12902145894010913</c:v>
                </c:pt>
                <c:pt idx="27">
                  <c:v>0.13026807578296173</c:v>
                </c:pt>
                <c:pt idx="28">
                  <c:v>0.13060519087738789</c:v>
                </c:pt>
                <c:pt idx="29">
                  <c:v>0.13195110258868648</c:v>
                </c:pt>
                <c:pt idx="30">
                  <c:v>0.13063616869192279</c:v>
                </c:pt>
                <c:pt idx="31">
                  <c:v>0.13057147626731958</c:v>
                </c:pt>
                <c:pt idx="32">
                  <c:v>0.13143970305630873</c:v>
                </c:pt>
                <c:pt idx="33">
                  <c:v>0.13182525311774757</c:v>
                </c:pt>
                <c:pt idx="34">
                  <c:v>0.13108595719440463</c:v>
                </c:pt>
                <c:pt idx="35">
                  <c:v>0.13165555903086881</c:v>
                </c:pt>
                <c:pt idx="36">
                  <c:v>0.1310031325811998</c:v>
                </c:pt>
                <c:pt idx="37">
                  <c:v>0.13055772679203642</c:v>
                </c:pt>
                <c:pt idx="38">
                  <c:v>0.12962059019303307</c:v>
                </c:pt>
                <c:pt idx="39">
                  <c:v>0.12862799704103389</c:v>
                </c:pt>
                <c:pt idx="40">
                  <c:v>0.13055772679203642</c:v>
                </c:pt>
                <c:pt idx="41">
                  <c:v>0.12852278187477803</c:v>
                </c:pt>
                <c:pt idx="42">
                  <c:v>0.12795839816558841</c:v>
                </c:pt>
                <c:pt idx="43">
                  <c:v>0.12817046348796385</c:v>
                </c:pt>
                <c:pt idx="44">
                  <c:v>0.12787448957661723</c:v>
                </c:pt>
                <c:pt idx="45">
                  <c:v>0.12772711531801917</c:v>
                </c:pt>
                <c:pt idx="46">
                  <c:v>0.12781273026129344</c:v>
                </c:pt>
                <c:pt idx="47">
                  <c:v>0.12802278608261816</c:v>
                </c:pt>
                <c:pt idx="48">
                  <c:v>0.12806209516120154</c:v>
                </c:pt>
                <c:pt idx="49">
                  <c:v>0.12818979266347688</c:v>
                </c:pt>
                <c:pt idx="50">
                  <c:v>0.12840917058122414</c:v>
                </c:pt>
                <c:pt idx="51">
                  <c:v>0.12804751350602578</c:v>
                </c:pt>
                <c:pt idx="52">
                  <c:v>0.1280702353704779</c:v>
                </c:pt>
                <c:pt idx="53">
                  <c:v>0.12862099164645649</c:v>
                </c:pt>
                <c:pt idx="54">
                  <c:v>0.12780607589056098</c:v>
                </c:pt>
                <c:pt idx="55">
                  <c:v>0.12662290061413653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86-4DDF-9669-15D1324CB2F6}"/>
            </c:ext>
          </c:extLst>
        </c:ser>
        <c:ser>
          <c:idx val="11"/>
          <c:order val="9"/>
          <c:tx>
            <c:strRef>
              <c:f>'Graph Data'!$B$48</c:f>
              <c:strCache>
                <c:ptCount val="1"/>
                <c:pt idx="0">
                  <c:v>USA</c:v>
                </c:pt>
              </c:strCache>
            </c:strRef>
          </c:tx>
          <c:spPr>
            <a:ln w="38100" cap="rnd">
              <a:solidFill>
                <a:schemeClr val="accent6">
                  <a:lumMod val="6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'Graph Data'!$C$38:$BL$38</c15:sqref>
                  </c15:fullRef>
                </c:ext>
              </c:extLst>
              <c:f>'Graph Data'!$I$38:$BL$38</c:f>
              <c:numCache>
                <c:formatCode>m/d/yyyy</c:formatCode>
                <c:ptCount val="56"/>
                <c:pt idx="0">
                  <c:v>43924</c:v>
                </c:pt>
                <c:pt idx="1">
                  <c:v>43925</c:v>
                </c:pt>
                <c:pt idx="2">
                  <c:v>43927</c:v>
                </c:pt>
                <c:pt idx="3">
                  <c:v>43928</c:v>
                </c:pt>
                <c:pt idx="4">
                  <c:v>43929</c:v>
                </c:pt>
                <c:pt idx="5">
                  <c:v>43930</c:v>
                </c:pt>
                <c:pt idx="6">
                  <c:v>43931</c:v>
                </c:pt>
                <c:pt idx="7">
                  <c:v>43932</c:v>
                </c:pt>
                <c:pt idx="8">
                  <c:v>43934</c:v>
                </c:pt>
                <c:pt idx="9">
                  <c:v>43935</c:v>
                </c:pt>
                <c:pt idx="10">
                  <c:v>43936</c:v>
                </c:pt>
                <c:pt idx="11">
                  <c:v>43937</c:v>
                </c:pt>
                <c:pt idx="12">
                  <c:v>43938</c:v>
                </c:pt>
                <c:pt idx="13">
                  <c:v>43939</c:v>
                </c:pt>
                <c:pt idx="14">
                  <c:v>43941</c:v>
                </c:pt>
                <c:pt idx="15">
                  <c:v>43942</c:v>
                </c:pt>
                <c:pt idx="16">
                  <c:v>43943</c:v>
                </c:pt>
                <c:pt idx="17">
                  <c:v>43944</c:v>
                </c:pt>
                <c:pt idx="18">
                  <c:v>43945</c:v>
                </c:pt>
                <c:pt idx="19">
                  <c:v>43946</c:v>
                </c:pt>
                <c:pt idx="20">
                  <c:v>43948</c:v>
                </c:pt>
                <c:pt idx="21">
                  <c:v>43949</c:v>
                </c:pt>
                <c:pt idx="22">
                  <c:v>43950</c:v>
                </c:pt>
                <c:pt idx="23">
                  <c:v>43951</c:v>
                </c:pt>
                <c:pt idx="24">
                  <c:v>43952</c:v>
                </c:pt>
                <c:pt idx="25">
                  <c:v>43953</c:v>
                </c:pt>
                <c:pt idx="26">
                  <c:v>43955</c:v>
                </c:pt>
                <c:pt idx="27">
                  <c:v>43956</c:v>
                </c:pt>
                <c:pt idx="28">
                  <c:v>43957</c:v>
                </c:pt>
                <c:pt idx="29">
                  <c:v>43958</c:v>
                </c:pt>
                <c:pt idx="30">
                  <c:v>43959</c:v>
                </c:pt>
                <c:pt idx="31">
                  <c:v>43960</c:v>
                </c:pt>
                <c:pt idx="32">
                  <c:v>43962</c:v>
                </c:pt>
                <c:pt idx="33">
                  <c:v>43963</c:v>
                </c:pt>
                <c:pt idx="34">
                  <c:v>43964</c:v>
                </c:pt>
                <c:pt idx="35">
                  <c:v>43965</c:v>
                </c:pt>
                <c:pt idx="36">
                  <c:v>43966</c:v>
                </c:pt>
                <c:pt idx="37">
                  <c:v>43967</c:v>
                </c:pt>
                <c:pt idx="38">
                  <c:v>43969</c:v>
                </c:pt>
                <c:pt idx="39">
                  <c:v>43970</c:v>
                </c:pt>
                <c:pt idx="40">
                  <c:v>43971</c:v>
                </c:pt>
                <c:pt idx="41">
                  <c:v>43972</c:v>
                </c:pt>
                <c:pt idx="42">
                  <c:v>43973</c:v>
                </c:pt>
                <c:pt idx="43">
                  <c:v>43974</c:v>
                </c:pt>
                <c:pt idx="44">
                  <c:v>43976</c:v>
                </c:pt>
                <c:pt idx="45">
                  <c:v>43977</c:v>
                </c:pt>
                <c:pt idx="46">
                  <c:v>43978</c:v>
                </c:pt>
                <c:pt idx="47">
                  <c:v>43979</c:v>
                </c:pt>
                <c:pt idx="48">
                  <c:v>43980</c:v>
                </c:pt>
                <c:pt idx="49">
                  <c:v>43981</c:v>
                </c:pt>
                <c:pt idx="50">
                  <c:v>43983</c:v>
                </c:pt>
                <c:pt idx="51">
                  <c:v>43984</c:v>
                </c:pt>
                <c:pt idx="52">
                  <c:v>43985</c:v>
                </c:pt>
                <c:pt idx="53">
                  <c:v>43986</c:v>
                </c:pt>
                <c:pt idx="54">
                  <c:v>43987</c:v>
                </c:pt>
                <c:pt idx="55">
                  <c:v>43988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Data'!$C$48:$BL$48</c15:sqref>
                  </c15:fullRef>
                </c:ext>
              </c:extLst>
              <c:f>'Graph Data'!$I$48:$BL$48</c:f>
              <c:numCache>
                <c:formatCode>0.0%</c:formatCode>
                <c:ptCount val="56"/>
                <c:pt idx="0">
                  <c:v>0.36741097108194321</c:v>
                </c:pt>
                <c:pt idx="1">
                  <c:v>0.36110153421823821</c:v>
                </c:pt>
                <c:pt idx="2">
                  <c:v>0.35694069856491195</c:v>
                </c:pt>
                <c:pt idx="3">
                  <c:v>0.37235734055709324</c:v>
                </c:pt>
                <c:pt idx="4">
                  <c:v>0.39584750605458652</c:v>
                </c:pt>
                <c:pt idx="5">
                  <c:v>0.39668623046639134</c:v>
                </c:pt>
                <c:pt idx="6">
                  <c:v>0.40677327899353238</c:v>
                </c:pt>
                <c:pt idx="7">
                  <c:v>0.41952517481075058</c:v>
                </c:pt>
                <c:pt idx="8">
                  <c:v>0.40289295381273382</c:v>
                </c:pt>
                <c:pt idx="9">
                  <c:v>0.40202358763919999</c:v>
                </c:pt>
                <c:pt idx="10">
                  <c:v>0.40136830102622578</c:v>
                </c:pt>
                <c:pt idx="11">
                  <c:v>0.36427841591718035</c:v>
                </c:pt>
                <c:pt idx="12">
                  <c:v>0.38210252499399311</c:v>
                </c:pt>
                <c:pt idx="13">
                  <c:v>0.38831298739430975</c:v>
                </c:pt>
                <c:pt idx="14">
                  <c:v>0.3765533245352205</c:v>
                </c:pt>
                <c:pt idx="15">
                  <c:v>0.35134880507489874</c:v>
                </c:pt>
                <c:pt idx="16">
                  <c:v>0.36112380082229328</c:v>
                </c:pt>
                <c:pt idx="17">
                  <c:v>0.36869699535118594</c:v>
                </c:pt>
                <c:pt idx="18">
                  <c:v>0.3614651144709034</c:v>
                </c:pt>
                <c:pt idx="19">
                  <c:v>0.33405164452215885</c:v>
                </c:pt>
                <c:pt idx="20">
                  <c:v>0.29064235143558942</c:v>
                </c:pt>
                <c:pt idx="21">
                  <c:v>0.29431313319784769</c:v>
                </c:pt>
                <c:pt idx="22">
                  <c:v>0.29573130587024693</c:v>
                </c:pt>
                <c:pt idx="23">
                  <c:v>0.29511763265459889</c:v>
                </c:pt>
                <c:pt idx="24">
                  <c:v>0.29119722724748787</c:v>
                </c:pt>
                <c:pt idx="25">
                  <c:v>0.28224799662589622</c:v>
                </c:pt>
                <c:pt idx="26">
                  <c:v>0.27606927399200931</c:v>
                </c:pt>
                <c:pt idx="27">
                  <c:v>0.26404051689375413</c:v>
                </c:pt>
                <c:pt idx="28">
                  <c:v>0.26513664880969434</c:v>
                </c:pt>
                <c:pt idx="29">
                  <c:v>0.26300844653102379</c:v>
                </c:pt>
                <c:pt idx="30">
                  <c:v>0.26110695036978587</c:v>
                </c:pt>
                <c:pt idx="31">
                  <c:v>0.25575019137943739</c:v>
                </c:pt>
                <c:pt idx="32">
                  <c:v>0.23920206267913358</c:v>
                </c:pt>
                <c:pt idx="33">
                  <c:v>0.23134407285358033</c:v>
                </c:pt>
                <c:pt idx="34">
                  <c:v>0.21671930340497897</c:v>
                </c:pt>
                <c:pt idx="35">
                  <c:v>0.21654930018827104</c:v>
                </c:pt>
                <c:pt idx="36">
                  <c:v>0.21682705106336828</c:v>
                </c:pt>
                <c:pt idx="37">
                  <c:v>0.20962980159316397</c:v>
                </c:pt>
                <c:pt idx="38">
                  <c:v>0.206618337002418</c:v>
                </c:pt>
                <c:pt idx="39">
                  <c:v>0.20492139949964527</c:v>
                </c:pt>
                <c:pt idx="40">
                  <c:v>0.20962980159316397</c:v>
                </c:pt>
                <c:pt idx="41">
                  <c:v>0.20432341970042953</c:v>
                </c:pt>
                <c:pt idx="42">
                  <c:v>0.20086296774193549</c:v>
                </c:pt>
                <c:pt idx="43">
                  <c:v>0.18298513899888086</c:v>
                </c:pt>
                <c:pt idx="44">
                  <c:v>0.17899288222999518</c:v>
                </c:pt>
                <c:pt idx="45">
                  <c:v>0.17605538592280315</c:v>
                </c:pt>
                <c:pt idx="46">
                  <c:v>0.17393058918482648</c:v>
                </c:pt>
                <c:pt idx="47">
                  <c:v>0.17230510295074727</c:v>
                </c:pt>
                <c:pt idx="48">
                  <c:v>0.17171525624958775</c:v>
                </c:pt>
                <c:pt idx="49">
                  <c:v>0.16618237406549952</c:v>
                </c:pt>
                <c:pt idx="50">
                  <c:v>0.1492467063100166</c:v>
                </c:pt>
                <c:pt idx="51">
                  <c:v>0.14832863139062821</c:v>
                </c:pt>
                <c:pt idx="52">
                  <c:v>0.14347179776007091</c:v>
                </c:pt>
                <c:pt idx="53">
                  <c:v>0.13671224362958359</c:v>
                </c:pt>
                <c:pt idx="54">
                  <c:v>0.1341238357326853</c:v>
                </c:pt>
                <c:pt idx="55">
                  <c:v>0.13039953218227185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D86-4DDF-9669-15D1324CB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080640"/>
        <c:axId val="157079000"/>
        <c:extLst/>
      </c:lineChart>
      <c:dateAx>
        <c:axId val="157080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79000"/>
        <c:crosses val="autoZero"/>
        <c:auto val="1"/>
        <c:lblOffset val="100"/>
        <c:baseTimeUnit val="days"/>
      </c:dateAx>
      <c:valAx>
        <c:axId val="157079000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Active Cases Per Million Population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Data'!$B$51</c:f>
              <c:strCache>
                <c:ptCount val="1"/>
                <c:pt idx="0">
                  <c:v>Ontario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Data'!$C$50:$BL$50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Data'!$C$51:$BL$51</c:f>
              <c:numCache>
                <c:formatCode>0</c:formatCode>
                <c:ptCount val="62"/>
                <c:pt idx="0">
                  <c:v>66.920415224913498</c:v>
                </c:pt>
                <c:pt idx="1">
                  <c:v>91.764705882352942</c:v>
                </c:pt>
                <c:pt idx="2">
                  <c:v>85.951557093425606</c:v>
                </c:pt>
                <c:pt idx="3">
                  <c:v>96.816608996539799</c:v>
                </c:pt>
                <c:pt idx="4">
                  <c:v>115.29411764705883</c:v>
                </c:pt>
                <c:pt idx="5">
                  <c:v>132.11072664359861</c:v>
                </c:pt>
                <c:pt idx="6">
                  <c:v>149.82698961937717</c:v>
                </c:pt>
                <c:pt idx="7">
                  <c:v>160.34602076124568</c:v>
                </c:pt>
                <c:pt idx="8">
                  <c:v>179.30795847750866</c:v>
                </c:pt>
                <c:pt idx="9">
                  <c:v>191.76470588235296</c:v>
                </c:pt>
                <c:pt idx="10">
                  <c:v>209.55017301038063</c:v>
                </c:pt>
                <c:pt idx="11">
                  <c:v>225.19031141868513</c:v>
                </c:pt>
                <c:pt idx="12">
                  <c:v>238.13148788927336</c:v>
                </c:pt>
                <c:pt idx="13">
                  <c:v>244.77508650519033</c:v>
                </c:pt>
                <c:pt idx="14">
                  <c:v>264.49826989619379</c:v>
                </c:pt>
                <c:pt idx="15">
                  <c:v>280.34602076124571</c:v>
                </c:pt>
                <c:pt idx="16">
                  <c:v>289.96539792387546</c:v>
                </c:pt>
                <c:pt idx="17">
                  <c:v>300.62283737024222</c:v>
                </c:pt>
                <c:pt idx="18">
                  <c:v>310.79584775086505</c:v>
                </c:pt>
                <c:pt idx="19">
                  <c:v>316.8166089965398</c:v>
                </c:pt>
                <c:pt idx="20">
                  <c:v>351.90311418685121</c:v>
                </c:pt>
                <c:pt idx="21">
                  <c:v>367.26643598615919</c:v>
                </c:pt>
                <c:pt idx="22">
                  <c:v>371.28027681660899</c:v>
                </c:pt>
                <c:pt idx="23">
                  <c:v>379.65397923875435</c:v>
                </c:pt>
                <c:pt idx="24">
                  <c:v>392.31833910034607</c:v>
                </c:pt>
                <c:pt idx="25">
                  <c:v>392.73356401384086</c:v>
                </c:pt>
                <c:pt idx="26">
                  <c:v>376.401384083045</c:v>
                </c:pt>
                <c:pt idx="27">
                  <c:v>378.26989619377167</c:v>
                </c:pt>
                <c:pt idx="28">
                  <c:v>354.32525951557096</c:v>
                </c:pt>
                <c:pt idx="29">
                  <c:v>339.10034602076126</c:v>
                </c:pt>
                <c:pt idx="30">
                  <c:v>322.62975778546712</c:v>
                </c:pt>
                <c:pt idx="31">
                  <c:v>315.08650519031141</c:v>
                </c:pt>
                <c:pt idx="32">
                  <c:v>284.98269896193773</c:v>
                </c:pt>
                <c:pt idx="33">
                  <c:v>288.58131487889273</c:v>
                </c:pt>
                <c:pt idx="34">
                  <c:v>281.73010380622839</c:v>
                </c:pt>
                <c:pt idx="35">
                  <c:v>282.00692041522495</c:v>
                </c:pt>
                <c:pt idx="36">
                  <c:v>281.52249134948096</c:v>
                </c:pt>
                <c:pt idx="37">
                  <c:v>274.18685121107268</c:v>
                </c:pt>
                <c:pt idx="38">
                  <c:v>259.23875432525955</c:v>
                </c:pt>
                <c:pt idx="39">
                  <c:v>262.35294117647061</c:v>
                </c:pt>
                <c:pt idx="40">
                  <c:v>250.93425605536333</c:v>
                </c:pt>
                <c:pt idx="41">
                  <c:v>241.66089965397924</c:v>
                </c:pt>
                <c:pt idx="42">
                  <c:v>239.16955017301038</c:v>
                </c:pt>
                <c:pt idx="43">
                  <c:v>237.71626297577856</c:v>
                </c:pt>
                <c:pt idx="44">
                  <c:v>236.33217993079586</c:v>
                </c:pt>
                <c:pt idx="45">
                  <c:v>246.85121107266437</c:v>
                </c:pt>
                <c:pt idx="46">
                  <c:v>250.65743944636679</c:v>
                </c:pt>
                <c:pt idx="47">
                  <c:v>255.0173010380623</c:v>
                </c:pt>
                <c:pt idx="48">
                  <c:v>265.74394463667824</c:v>
                </c:pt>
                <c:pt idx="49">
                  <c:v>266.15916955017303</c:v>
                </c:pt>
                <c:pt idx="50">
                  <c:v>284.01384083044985</c:v>
                </c:pt>
                <c:pt idx="51">
                  <c:v>284.42906574394465</c:v>
                </c:pt>
                <c:pt idx="52">
                  <c:v>273.77162629757788</c:v>
                </c:pt>
                <c:pt idx="53">
                  <c:v>277.09342560553637</c:v>
                </c:pt>
                <c:pt idx="54">
                  <c:v>276.60899653979243</c:v>
                </c:pt>
                <c:pt idx="55">
                  <c:v>272.17993079584778</c:v>
                </c:pt>
                <c:pt idx="56">
                  <c:v>265.32871972318338</c:v>
                </c:pt>
                <c:pt idx="57">
                  <c:v>272.11072664359864</c:v>
                </c:pt>
                <c:pt idx="58">
                  <c:v>271.55709342560556</c:v>
                </c:pt>
                <c:pt idx="59">
                  <c:v>265.60553633217995</c:v>
                </c:pt>
                <c:pt idx="60">
                  <c:v>262.42214532871975</c:v>
                </c:pt>
                <c:pt idx="61">
                  <c:v>266.29757785467132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D-4A41-B52D-72EEF49A1436}"/>
            </c:ext>
          </c:extLst>
        </c:ser>
        <c:ser>
          <c:idx val="1"/>
          <c:order val="1"/>
          <c:tx>
            <c:strRef>
              <c:f>'Graph Data'!$B$52</c:f>
              <c:strCache>
                <c:ptCount val="1"/>
                <c:pt idx="0">
                  <c:v>Quebec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Data'!$C$50:$BL$50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Data'!$C$52:$BL$52</c:f>
              <c:numCache>
                <c:formatCode>0</c:formatCode>
                <c:ptCount val="62"/>
                <c:pt idx="0">
                  <c:v>234.16370106761568</c:v>
                </c:pt>
                <c:pt idx="1">
                  <c:v>290.27283511269275</c:v>
                </c:pt>
                <c:pt idx="2">
                  <c:v>400.47449584816133</c:v>
                </c:pt>
                <c:pt idx="3">
                  <c:v>486.59549228944246</c:v>
                </c:pt>
                <c:pt idx="4">
                  <c:v>539.62040332147092</c:v>
                </c:pt>
                <c:pt idx="5">
                  <c:v>646.85646500593123</c:v>
                </c:pt>
                <c:pt idx="6">
                  <c:v>680.1897983392646</c:v>
                </c:pt>
                <c:pt idx="7">
                  <c:v>784.81613285883748</c:v>
                </c:pt>
                <c:pt idx="8">
                  <c:v>930.96085409252669</c:v>
                </c:pt>
                <c:pt idx="9">
                  <c:v>1004.7449584816134</c:v>
                </c:pt>
                <c:pt idx="10">
                  <c:v>1071.055753262159</c:v>
                </c:pt>
                <c:pt idx="11">
                  <c:v>1136.8920521945433</c:v>
                </c:pt>
                <c:pt idx="12">
                  <c:v>1197.5088967971531</c:v>
                </c:pt>
                <c:pt idx="13">
                  <c:v>1264.7686832740214</c:v>
                </c:pt>
                <c:pt idx="14">
                  <c:v>1330.367734282325</c:v>
                </c:pt>
                <c:pt idx="15">
                  <c:v>1383.9857651245552</c:v>
                </c:pt>
                <c:pt idx="16">
                  <c:v>1409.4899169632265</c:v>
                </c:pt>
                <c:pt idx="17">
                  <c:v>1469.2763938315541</c:v>
                </c:pt>
                <c:pt idx="18">
                  <c:v>1546.026097271649</c:v>
                </c:pt>
                <c:pt idx="19">
                  <c:v>1589.6797153024911</c:v>
                </c:pt>
                <c:pt idx="20">
                  <c:v>1723.9620403321471</c:v>
                </c:pt>
                <c:pt idx="21">
                  <c:v>1783.7485172004745</c:v>
                </c:pt>
                <c:pt idx="22">
                  <c:v>1843.4163701067616</c:v>
                </c:pt>
                <c:pt idx="23">
                  <c:v>1911.1506524317913</c:v>
                </c:pt>
                <c:pt idx="24">
                  <c:v>1963.4638196915778</c:v>
                </c:pt>
                <c:pt idx="25">
                  <c:v>1988.6120996441282</c:v>
                </c:pt>
                <c:pt idx="26">
                  <c:v>2119.3357058125744</c:v>
                </c:pt>
                <c:pt idx="27">
                  <c:v>2162.9893238434165</c:v>
                </c:pt>
                <c:pt idx="28">
                  <c:v>2228.3511269276396</c:v>
                </c:pt>
                <c:pt idx="29">
                  <c:v>2298.9323843416369</c:v>
                </c:pt>
                <c:pt idx="30">
                  <c:v>2363.7010676156583</c:v>
                </c:pt>
                <c:pt idx="31">
                  <c:v>2438.3155397390274</c:v>
                </c:pt>
                <c:pt idx="32">
                  <c:v>2700.4744958481615</c:v>
                </c:pt>
                <c:pt idx="33">
                  <c:v>2739.7390272835114</c:v>
                </c:pt>
                <c:pt idx="34">
                  <c:v>2791.5776986951364</c:v>
                </c:pt>
                <c:pt idx="35">
                  <c:v>2839.1459074733098</c:v>
                </c:pt>
                <c:pt idx="36">
                  <c:v>2905.9311981020169</c:v>
                </c:pt>
                <c:pt idx="37">
                  <c:v>2957.5326215895611</c:v>
                </c:pt>
                <c:pt idx="38">
                  <c:v>3054.9228944246738</c:v>
                </c:pt>
                <c:pt idx="39">
                  <c:v>3088.7307236061683</c:v>
                </c:pt>
                <c:pt idx="40">
                  <c:v>3112.8113879003558</c:v>
                </c:pt>
                <c:pt idx="41">
                  <c:v>3159.0747330960853</c:v>
                </c:pt>
                <c:pt idx="42">
                  <c:v>3200.4744958481615</c:v>
                </c:pt>
                <c:pt idx="43">
                  <c:v>3231.5539739027286</c:v>
                </c:pt>
                <c:pt idx="44">
                  <c:v>3319.8102016607354</c:v>
                </c:pt>
                <c:pt idx="45">
                  <c:v>3327.758007117438</c:v>
                </c:pt>
                <c:pt idx="46">
                  <c:v>3349.3475682087783</c:v>
                </c:pt>
                <c:pt idx="47">
                  <c:v>3365.1245551601423</c:v>
                </c:pt>
                <c:pt idx="48">
                  <c:v>3375.6820877817322</c:v>
                </c:pt>
                <c:pt idx="49">
                  <c:v>3422.7758007117441</c:v>
                </c:pt>
                <c:pt idx="50">
                  <c:v>3471.0557532621592</c:v>
                </c:pt>
                <c:pt idx="51">
                  <c:v>3494.6619217081852</c:v>
                </c:pt>
                <c:pt idx="52">
                  <c:v>3510.3202846975091</c:v>
                </c:pt>
                <c:pt idx="53">
                  <c:v>3532.858837485172</c:v>
                </c:pt>
                <c:pt idx="54">
                  <c:v>3554.0925266903914</c:v>
                </c:pt>
                <c:pt idx="55">
                  <c:v>3575.5634638196916</c:v>
                </c:pt>
                <c:pt idx="56">
                  <c:v>3570.1067615658362</c:v>
                </c:pt>
                <c:pt idx="57">
                  <c:v>3567.8529062870703</c:v>
                </c:pt>
                <c:pt idx="58">
                  <c:v>3557.7698695136419</c:v>
                </c:pt>
                <c:pt idx="59">
                  <c:v>3549.4661921708184</c:v>
                </c:pt>
                <c:pt idx="60">
                  <c:v>3523.0130486358244</c:v>
                </c:pt>
                <c:pt idx="61">
                  <c:v>3468.8018979833928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D-4A41-B52D-72EEF49A1436}"/>
            </c:ext>
          </c:extLst>
        </c:ser>
        <c:ser>
          <c:idx val="2"/>
          <c:order val="2"/>
          <c:tx>
            <c:strRef>
              <c:f>'Graph Data'!$B$53</c:f>
              <c:strCache>
                <c:ptCount val="1"/>
                <c:pt idx="0">
                  <c:v>BC</c:v>
                </c:pt>
              </c:strCache>
            </c:strRef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Data'!$C$50:$BL$50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Data'!$C$53:$BL$53</c:f>
              <c:numCache>
                <c:formatCode>0</c:formatCode>
                <c:ptCount val="62"/>
                <c:pt idx="0">
                  <c:v>99.800796812749013</c:v>
                </c:pt>
                <c:pt idx="1">
                  <c:v>93.824701195219134</c:v>
                </c:pt>
                <c:pt idx="2">
                  <c:v>96.01593625498009</c:v>
                </c:pt>
                <c:pt idx="3">
                  <c:v>96.01593625498009</c:v>
                </c:pt>
                <c:pt idx="4">
                  <c:v>86.653386454183277</c:v>
                </c:pt>
                <c:pt idx="5">
                  <c:v>89.442231075697222</c:v>
                </c:pt>
                <c:pt idx="6">
                  <c:v>99.203187250996024</c:v>
                </c:pt>
                <c:pt idx="7">
                  <c:v>91.832669322709165</c:v>
                </c:pt>
                <c:pt idx="8">
                  <c:v>88.446215139442245</c:v>
                </c:pt>
                <c:pt idx="9">
                  <c:v>88.247011952191244</c:v>
                </c:pt>
                <c:pt idx="10">
                  <c:v>89.641434262948209</c:v>
                </c:pt>
                <c:pt idx="11">
                  <c:v>93.227091633466145</c:v>
                </c:pt>
                <c:pt idx="12">
                  <c:v>94.820717131474112</c:v>
                </c:pt>
                <c:pt idx="13">
                  <c:v>96.01593625498009</c:v>
                </c:pt>
                <c:pt idx="14">
                  <c:v>98.605577689243034</c:v>
                </c:pt>
                <c:pt idx="15">
                  <c:v>100.199203187251</c:v>
                </c:pt>
                <c:pt idx="16">
                  <c:v>97.808764940239058</c:v>
                </c:pt>
                <c:pt idx="17">
                  <c:v>102.39043824701196</c:v>
                </c:pt>
                <c:pt idx="18">
                  <c:v>114.34262948207173</c:v>
                </c:pt>
                <c:pt idx="19">
                  <c:v>115.33864541832671</c:v>
                </c:pt>
                <c:pt idx="20">
                  <c:v>114.34262948207173</c:v>
                </c:pt>
                <c:pt idx="21">
                  <c:v>118.72509960159364</c:v>
                </c:pt>
                <c:pt idx="22">
                  <c:v>124.70119521912352</c:v>
                </c:pt>
                <c:pt idx="23">
                  <c:v>127.09163346613546</c:v>
                </c:pt>
                <c:pt idx="24">
                  <c:v>127.68924302788845</c:v>
                </c:pt>
                <c:pt idx="25">
                  <c:v>141.63346613545818</c:v>
                </c:pt>
                <c:pt idx="26">
                  <c:v>140.4382470119522</c:v>
                </c:pt>
                <c:pt idx="27">
                  <c:v>142.82868525896416</c:v>
                </c:pt>
                <c:pt idx="28">
                  <c:v>134.06374501992033</c:v>
                </c:pt>
                <c:pt idx="29">
                  <c:v>134.66135458167332</c:v>
                </c:pt>
                <c:pt idx="30">
                  <c:v>135.25896414342631</c:v>
                </c:pt>
                <c:pt idx="31">
                  <c:v>134.66135458167332</c:v>
                </c:pt>
                <c:pt idx="32">
                  <c:v>137.45019920318725</c:v>
                </c:pt>
                <c:pt idx="33">
                  <c:v>127.29083665338646</c:v>
                </c:pt>
                <c:pt idx="34">
                  <c:v>126.89243027888448</c:v>
                </c:pt>
                <c:pt idx="35">
                  <c:v>129.48207171314743</c:v>
                </c:pt>
                <c:pt idx="36">
                  <c:v>121.31474103585658</c:v>
                </c:pt>
                <c:pt idx="37">
                  <c:v>107.96812749003985</c:v>
                </c:pt>
                <c:pt idx="38">
                  <c:v>100.398406374502</c:v>
                </c:pt>
                <c:pt idx="39">
                  <c:v>79.083665338645432</c:v>
                </c:pt>
                <c:pt idx="40">
                  <c:v>76.693227091633474</c:v>
                </c:pt>
                <c:pt idx="41">
                  <c:v>74.10358565737053</c:v>
                </c:pt>
                <c:pt idx="42">
                  <c:v>71.513944223107572</c:v>
                </c:pt>
                <c:pt idx="43">
                  <c:v>70.717131474103596</c:v>
                </c:pt>
                <c:pt idx="44">
                  <c:v>66.733067729083672</c:v>
                </c:pt>
                <c:pt idx="45">
                  <c:v>64.741035856573717</c:v>
                </c:pt>
                <c:pt idx="46">
                  <c:v>68.326693227091639</c:v>
                </c:pt>
                <c:pt idx="47">
                  <c:v>61.155378486055781</c:v>
                </c:pt>
                <c:pt idx="48">
                  <c:v>61.75298804780877</c:v>
                </c:pt>
                <c:pt idx="49">
                  <c:v>60.358565737051798</c:v>
                </c:pt>
                <c:pt idx="50">
                  <c:v>52.988047808764946</c:v>
                </c:pt>
                <c:pt idx="51">
                  <c:v>51.39442231075698</c:v>
                </c:pt>
                <c:pt idx="52">
                  <c:v>48.605577689243034</c:v>
                </c:pt>
                <c:pt idx="53">
                  <c:v>48.007968127490045</c:v>
                </c:pt>
                <c:pt idx="54">
                  <c:v>45.418326693227094</c:v>
                </c:pt>
                <c:pt idx="55">
                  <c:v>45.418326693227094</c:v>
                </c:pt>
                <c:pt idx="56">
                  <c:v>44.820717131474105</c:v>
                </c:pt>
                <c:pt idx="57">
                  <c:v>41.235059760956176</c:v>
                </c:pt>
                <c:pt idx="58">
                  <c:v>42.629482071713149</c:v>
                </c:pt>
                <c:pt idx="59">
                  <c:v>40.039840637450204</c:v>
                </c:pt>
                <c:pt idx="60">
                  <c:v>38.446215139442238</c:v>
                </c:pt>
                <c:pt idx="61">
                  <c:v>38.446215139442238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8D-4A41-B52D-72EEF49A1436}"/>
            </c:ext>
          </c:extLst>
        </c:ser>
        <c:ser>
          <c:idx val="3"/>
          <c:order val="3"/>
          <c:tx>
            <c:strRef>
              <c:f>'Graph Data'!$B$54</c:f>
              <c:strCache>
                <c:ptCount val="1"/>
                <c:pt idx="0">
                  <c:v>Alberta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Data'!$C$50:$BL$50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Data'!$C$54:$BL$54</c:f>
              <c:numCache>
                <c:formatCode>0</c:formatCode>
                <c:ptCount val="62"/>
                <c:pt idx="0">
                  <c:v>116.82027649769586</c:v>
                </c:pt>
                <c:pt idx="1">
                  <c:v>130.41474654377882</c:v>
                </c:pt>
                <c:pt idx="2">
                  <c:v>135.48387096774195</c:v>
                </c:pt>
                <c:pt idx="3">
                  <c:v>144.00921658986175</c:v>
                </c:pt>
                <c:pt idx="4">
                  <c:v>165.4377880184332</c:v>
                </c:pt>
                <c:pt idx="5">
                  <c:v>179.95391705069125</c:v>
                </c:pt>
                <c:pt idx="6">
                  <c:v>195.62211981566821</c:v>
                </c:pt>
                <c:pt idx="7">
                  <c:v>222.35023041474656</c:v>
                </c:pt>
                <c:pt idx="8">
                  <c:v>214.74654377880185</c:v>
                </c:pt>
                <c:pt idx="9">
                  <c:v>207.37327188940094</c:v>
                </c:pt>
                <c:pt idx="10">
                  <c:v>201.61290322580646</c:v>
                </c:pt>
                <c:pt idx="11">
                  <c:v>190.55299539170508</c:v>
                </c:pt>
                <c:pt idx="12">
                  <c:v>172.35023041474656</c:v>
                </c:pt>
                <c:pt idx="13">
                  <c:v>174.19354838709677</c:v>
                </c:pt>
                <c:pt idx="14">
                  <c:v>186.40552995391707</c:v>
                </c:pt>
                <c:pt idx="15">
                  <c:v>209.21658986175115</c:v>
                </c:pt>
                <c:pt idx="16">
                  <c:v>238.2488479262673</c:v>
                </c:pt>
                <c:pt idx="17">
                  <c:v>275.11520737327191</c:v>
                </c:pt>
                <c:pt idx="18">
                  <c:v>281.79723502304148</c:v>
                </c:pt>
                <c:pt idx="19">
                  <c:v>268.20276497695852</c:v>
                </c:pt>
                <c:pt idx="20">
                  <c:v>373.04147465437791</c:v>
                </c:pt>
                <c:pt idx="21">
                  <c:v>405.76036866359448</c:v>
                </c:pt>
                <c:pt idx="22">
                  <c:v>466.58986175115211</c:v>
                </c:pt>
                <c:pt idx="23">
                  <c:v>529.0322580645161</c:v>
                </c:pt>
                <c:pt idx="24">
                  <c:v>587.09677419354841</c:v>
                </c:pt>
                <c:pt idx="25">
                  <c:v>617.28110599078343</c:v>
                </c:pt>
                <c:pt idx="26">
                  <c:v>681.33640552995394</c:v>
                </c:pt>
                <c:pt idx="27">
                  <c:v>684.33179723502303</c:v>
                </c:pt>
                <c:pt idx="28">
                  <c:v>720.04608294930881</c:v>
                </c:pt>
                <c:pt idx="29">
                  <c:v>715.43778801843325</c:v>
                </c:pt>
                <c:pt idx="30">
                  <c:v>719.35483870967744</c:v>
                </c:pt>
                <c:pt idx="31">
                  <c:v>700.92165898617509</c:v>
                </c:pt>
                <c:pt idx="32">
                  <c:v>649.07834101382491</c:v>
                </c:pt>
                <c:pt idx="33">
                  <c:v>591.70506912442397</c:v>
                </c:pt>
                <c:pt idx="34">
                  <c:v>529.72350230414747</c:v>
                </c:pt>
                <c:pt idx="35">
                  <c:v>482.48847926267285</c:v>
                </c:pt>
                <c:pt idx="36">
                  <c:v>452.30414746543778</c:v>
                </c:pt>
                <c:pt idx="37">
                  <c:v>423.27188940092168</c:v>
                </c:pt>
                <c:pt idx="38">
                  <c:v>351.15207373271892</c:v>
                </c:pt>
                <c:pt idx="39">
                  <c:v>313.59447004608296</c:v>
                </c:pt>
                <c:pt idx="40">
                  <c:v>279.03225806451616</c:v>
                </c:pt>
                <c:pt idx="41">
                  <c:v>260.59907834101381</c:v>
                </c:pt>
                <c:pt idx="42">
                  <c:v>247.23502304147468</c:v>
                </c:pt>
                <c:pt idx="43">
                  <c:v>249.76958525345623</c:v>
                </c:pt>
                <c:pt idx="44">
                  <c:v>238.70967741935485</c:v>
                </c:pt>
                <c:pt idx="45">
                  <c:v>231.33640552995394</c:v>
                </c:pt>
                <c:pt idx="46">
                  <c:v>223.50230414746545</c:v>
                </c:pt>
                <c:pt idx="47">
                  <c:v>213.36405529953919</c:v>
                </c:pt>
                <c:pt idx="48">
                  <c:v>199.30875576036868</c:v>
                </c:pt>
                <c:pt idx="49">
                  <c:v>187.55760368663596</c:v>
                </c:pt>
                <c:pt idx="50">
                  <c:v>175.57603686635946</c:v>
                </c:pt>
                <c:pt idx="51">
                  <c:v>164.51612903225808</c:v>
                </c:pt>
                <c:pt idx="52">
                  <c:v>156.45161290322582</c:v>
                </c:pt>
                <c:pt idx="53">
                  <c:v>150.23041474654377</c:v>
                </c:pt>
                <c:pt idx="54">
                  <c:v>142.39631336405532</c:v>
                </c:pt>
                <c:pt idx="55">
                  <c:v>139.17050691244239</c:v>
                </c:pt>
                <c:pt idx="56">
                  <c:v>92.16589861751153</c:v>
                </c:pt>
                <c:pt idx="57">
                  <c:v>86.866359447004612</c:v>
                </c:pt>
                <c:pt idx="58">
                  <c:v>79.262672811059915</c:v>
                </c:pt>
                <c:pt idx="59">
                  <c:v>76.958525345622121</c:v>
                </c:pt>
                <c:pt idx="60">
                  <c:v>75.576036866359445</c:v>
                </c:pt>
                <c:pt idx="61">
                  <c:v>77.41935483870968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8D-4A41-B52D-72EEF49A1436}"/>
            </c:ext>
          </c:extLst>
        </c:ser>
        <c:ser>
          <c:idx val="4"/>
          <c:order val="4"/>
          <c:tx>
            <c:strRef>
              <c:f>'Graph Data'!$B$55</c:f>
              <c:strCache>
                <c:ptCount val="1"/>
                <c:pt idx="0">
                  <c:v>Manitoba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Data'!$C$50:$BL$50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Data'!$C$55:$BL$55</c:f>
              <c:numCache>
                <c:formatCode>0</c:formatCode>
                <c:ptCount val="62"/>
                <c:pt idx="0">
                  <c:v>27.941176470588232</c:v>
                </c:pt>
                <c:pt idx="1">
                  <c:v>46.323529411764703</c:v>
                </c:pt>
                <c:pt idx="2">
                  <c:v>68.382352941176464</c:v>
                </c:pt>
                <c:pt idx="3">
                  <c:v>72.058823529411754</c:v>
                </c:pt>
                <c:pt idx="4">
                  <c:v>89.705882352941174</c:v>
                </c:pt>
                <c:pt idx="5">
                  <c:v>113.97058823529412</c:v>
                </c:pt>
                <c:pt idx="6">
                  <c:v>126.4705882352941</c:v>
                </c:pt>
                <c:pt idx="7">
                  <c:v>133.08823529411762</c:v>
                </c:pt>
                <c:pt idx="8">
                  <c:v>136.02941176470588</c:v>
                </c:pt>
                <c:pt idx="9">
                  <c:v>141.91176470588235</c:v>
                </c:pt>
                <c:pt idx="10">
                  <c:v>109.55882352941175</c:v>
                </c:pt>
                <c:pt idx="11">
                  <c:v>106.61764705882352</c:v>
                </c:pt>
                <c:pt idx="12">
                  <c:v>98.52941176470587</c:v>
                </c:pt>
                <c:pt idx="13">
                  <c:v>105.14705882352941</c:v>
                </c:pt>
                <c:pt idx="14">
                  <c:v>105.14705882352941</c:v>
                </c:pt>
                <c:pt idx="15">
                  <c:v>105.14705882352941</c:v>
                </c:pt>
                <c:pt idx="16">
                  <c:v>97.794117647058812</c:v>
                </c:pt>
                <c:pt idx="17">
                  <c:v>91.17647058823529</c:v>
                </c:pt>
                <c:pt idx="18">
                  <c:v>83.088235294117638</c:v>
                </c:pt>
                <c:pt idx="19">
                  <c:v>79.411764705882348</c:v>
                </c:pt>
                <c:pt idx="20">
                  <c:v>76.470588235294116</c:v>
                </c:pt>
                <c:pt idx="21">
                  <c:v>72.794117647058812</c:v>
                </c:pt>
                <c:pt idx="22">
                  <c:v>71.323529411764696</c:v>
                </c:pt>
                <c:pt idx="23">
                  <c:v>60.294117647058819</c:v>
                </c:pt>
                <c:pt idx="24">
                  <c:v>44.852941176470587</c:v>
                </c:pt>
                <c:pt idx="25">
                  <c:v>45.588235294117645</c:v>
                </c:pt>
                <c:pt idx="26">
                  <c:v>44.852941176470587</c:v>
                </c:pt>
                <c:pt idx="27">
                  <c:v>44.852941176470587</c:v>
                </c:pt>
                <c:pt idx="28">
                  <c:v>39.705882352941174</c:v>
                </c:pt>
                <c:pt idx="29">
                  <c:v>36.029411764705877</c:v>
                </c:pt>
                <c:pt idx="30">
                  <c:v>27.941176470588232</c:v>
                </c:pt>
                <c:pt idx="31">
                  <c:v>27.941176470588232</c:v>
                </c:pt>
                <c:pt idx="32">
                  <c:v>27.205882352941174</c:v>
                </c:pt>
                <c:pt idx="33">
                  <c:v>27.205882352941174</c:v>
                </c:pt>
                <c:pt idx="34">
                  <c:v>24.999999999999996</c:v>
                </c:pt>
                <c:pt idx="35">
                  <c:v>24.999999999999996</c:v>
                </c:pt>
                <c:pt idx="36">
                  <c:v>22.058823529411764</c:v>
                </c:pt>
                <c:pt idx="37">
                  <c:v>22.058823529411764</c:v>
                </c:pt>
                <c:pt idx="38">
                  <c:v>25.735294117647058</c:v>
                </c:pt>
                <c:pt idx="39">
                  <c:v>23.52941176470588</c:v>
                </c:pt>
                <c:pt idx="40">
                  <c:v>23.52941176470588</c:v>
                </c:pt>
                <c:pt idx="41">
                  <c:v>22.058823529411764</c:v>
                </c:pt>
                <c:pt idx="42">
                  <c:v>20.588235294117645</c:v>
                </c:pt>
                <c:pt idx="43">
                  <c:v>18.382352941176471</c:v>
                </c:pt>
                <c:pt idx="44">
                  <c:v>19.117647058823529</c:v>
                </c:pt>
                <c:pt idx="45">
                  <c:v>19.117647058823529</c:v>
                </c:pt>
                <c:pt idx="46">
                  <c:v>16.911764705882351</c:v>
                </c:pt>
                <c:pt idx="47">
                  <c:v>13.235294117647058</c:v>
                </c:pt>
                <c:pt idx="48">
                  <c:v>13.235294117647058</c:v>
                </c:pt>
                <c:pt idx="49">
                  <c:v>12.499999999999998</c:v>
                </c:pt>
                <c:pt idx="50">
                  <c:v>12.499999999999998</c:v>
                </c:pt>
                <c:pt idx="51">
                  <c:v>11.76470588235294</c:v>
                </c:pt>
                <c:pt idx="52">
                  <c:v>10.294117647058822</c:v>
                </c:pt>
                <c:pt idx="53">
                  <c:v>10.294117647058822</c:v>
                </c:pt>
                <c:pt idx="54">
                  <c:v>10.294117647058822</c:v>
                </c:pt>
                <c:pt idx="55">
                  <c:v>6.617647058823529</c:v>
                </c:pt>
                <c:pt idx="56">
                  <c:v>7.3529411764705879</c:v>
                </c:pt>
                <c:pt idx="57">
                  <c:v>8.8235294117647047</c:v>
                </c:pt>
                <c:pt idx="58">
                  <c:v>6.617647058823529</c:v>
                </c:pt>
                <c:pt idx="59">
                  <c:v>5.1470588235294112</c:v>
                </c:pt>
                <c:pt idx="60">
                  <c:v>6.617647058823529</c:v>
                </c:pt>
                <c:pt idx="61">
                  <c:v>6.617647058823529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8D-4A41-B52D-72EEF49A1436}"/>
            </c:ext>
          </c:extLst>
        </c:ser>
        <c:ser>
          <c:idx val="5"/>
          <c:order val="5"/>
          <c:tx>
            <c:strRef>
              <c:f>'Graph Data'!$B$56</c:f>
              <c:strCache>
                <c:ptCount val="1"/>
                <c:pt idx="0">
                  <c:v>Sask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Data'!$C$50:$BL$50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Data'!$C$56:$BL$56</c:f>
              <c:numCache>
                <c:formatCode>0</c:formatCode>
                <c:ptCount val="62"/>
                <c:pt idx="0">
                  <c:v>86.324786324786331</c:v>
                </c:pt>
                <c:pt idx="1">
                  <c:v>111.96581196581197</c:v>
                </c:pt>
                <c:pt idx="2">
                  <c:v>141.88034188034189</c:v>
                </c:pt>
                <c:pt idx="3">
                  <c:v>137.60683760683762</c:v>
                </c:pt>
                <c:pt idx="4">
                  <c:v>136.75213675213675</c:v>
                </c:pt>
                <c:pt idx="5">
                  <c:v>142.73504273504275</c:v>
                </c:pt>
                <c:pt idx="6">
                  <c:v>144.44444444444446</c:v>
                </c:pt>
                <c:pt idx="7">
                  <c:v>147.86324786324786</c:v>
                </c:pt>
                <c:pt idx="8">
                  <c:v>144.44444444444446</c:v>
                </c:pt>
                <c:pt idx="9">
                  <c:v>144.44444444444446</c:v>
                </c:pt>
                <c:pt idx="10">
                  <c:v>141.02564102564102</c:v>
                </c:pt>
                <c:pt idx="11">
                  <c:v>136.75213675213675</c:v>
                </c:pt>
                <c:pt idx="12">
                  <c:v>124.7863247863248</c:v>
                </c:pt>
                <c:pt idx="13">
                  <c:v>117.94871794871796</c:v>
                </c:pt>
                <c:pt idx="14">
                  <c:v>100.85470085470087</c:v>
                </c:pt>
                <c:pt idx="15">
                  <c:v>94.017094017094024</c:v>
                </c:pt>
                <c:pt idx="16">
                  <c:v>81.196581196581207</c:v>
                </c:pt>
                <c:pt idx="17">
                  <c:v>70.085470085470092</c:v>
                </c:pt>
                <c:pt idx="18">
                  <c:v>64.102564102564102</c:v>
                </c:pt>
                <c:pt idx="19">
                  <c:v>64.102564102564102</c:v>
                </c:pt>
                <c:pt idx="20">
                  <c:v>63.247863247863251</c:v>
                </c:pt>
                <c:pt idx="21">
                  <c:v>54.700854700854705</c:v>
                </c:pt>
                <c:pt idx="22">
                  <c:v>52.136752136752143</c:v>
                </c:pt>
                <c:pt idx="23">
                  <c:v>48.717948717948723</c:v>
                </c:pt>
                <c:pt idx="24">
                  <c:v>48.717948717948723</c:v>
                </c:pt>
                <c:pt idx="25">
                  <c:v>48.717948717948723</c:v>
                </c:pt>
                <c:pt idx="26">
                  <c:v>61.53846153846154</c:v>
                </c:pt>
                <c:pt idx="27">
                  <c:v>59.82905982905983</c:v>
                </c:pt>
                <c:pt idx="28">
                  <c:v>73.504273504273513</c:v>
                </c:pt>
                <c:pt idx="29">
                  <c:v>75.213675213675216</c:v>
                </c:pt>
                <c:pt idx="30">
                  <c:v>95.726495726495727</c:v>
                </c:pt>
                <c:pt idx="31">
                  <c:v>96.581196581196593</c:v>
                </c:pt>
                <c:pt idx="32">
                  <c:v>131.62393162393164</c:v>
                </c:pt>
                <c:pt idx="33">
                  <c:v>146.15384615384616</c:v>
                </c:pt>
                <c:pt idx="34">
                  <c:v>165.81196581196582</c:v>
                </c:pt>
                <c:pt idx="35">
                  <c:v>167.52136752136752</c:v>
                </c:pt>
                <c:pt idx="36">
                  <c:v>173.50427350427353</c:v>
                </c:pt>
                <c:pt idx="37">
                  <c:v>176.92307692307693</c:v>
                </c:pt>
                <c:pt idx="38">
                  <c:v>170.08547008547009</c:v>
                </c:pt>
                <c:pt idx="39">
                  <c:v>164.95726495726495</c:v>
                </c:pt>
                <c:pt idx="40">
                  <c:v>158.97435897435898</c:v>
                </c:pt>
                <c:pt idx="41">
                  <c:v>152.13675213675214</c:v>
                </c:pt>
                <c:pt idx="42">
                  <c:v>150.42735042735043</c:v>
                </c:pt>
                <c:pt idx="43">
                  <c:v>129.91452991452994</c:v>
                </c:pt>
                <c:pt idx="44">
                  <c:v>111.96581196581197</c:v>
                </c:pt>
                <c:pt idx="45">
                  <c:v>105.12820512820514</c:v>
                </c:pt>
                <c:pt idx="46">
                  <c:v>101.70940170940172</c:v>
                </c:pt>
                <c:pt idx="47">
                  <c:v>90.598290598290603</c:v>
                </c:pt>
                <c:pt idx="48">
                  <c:v>84.615384615384627</c:v>
                </c:pt>
                <c:pt idx="49">
                  <c:v>75.213675213675216</c:v>
                </c:pt>
                <c:pt idx="50">
                  <c:v>69.230769230769241</c:v>
                </c:pt>
                <c:pt idx="51">
                  <c:v>65.81196581196582</c:v>
                </c:pt>
                <c:pt idx="52">
                  <c:v>58.119658119658126</c:v>
                </c:pt>
                <c:pt idx="53">
                  <c:v>52.136752136752143</c:v>
                </c:pt>
                <c:pt idx="54">
                  <c:v>52.136752136752143</c:v>
                </c:pt>
                <c:pt idx="55">
                  <c:v>47.008547008547012</c:v>
                </c:pt>
                <c:pt idx="56">
                  <c:v>40.17094017094017</c:v>
                </c:pt>
                <c:pt idx="57">
                  <c:v>28.205128205128208</c:v>
                </c:pt>
                <c:pt idx="58">
                  <c:v>29.059829059829063</c:v>
                </c:pt>
                <c:pt idx="59">
                  <c:v>24.786324786324787</c:v>
                </c:pt>
                <c:pt idx="60">
                  <c:v>23.076923076923077</c:v>
                </c:pt>
                <c:pt idx="61">
                  <c:v>23.931623931623932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8D-4A41-B52D-72EEF49A1436}"/>
            </c:ext>
          </c:extLst>
        </c:ser>
        <c:ser>
          <c:idx val="6"/>
          <c:order val="6"/>
          <c:tx>
            <c:strRef>
              <c:f>'Graph Data'!$B$57</c:f>
              <c:strCache>
                <c:ptCount val="1"/>
                <c:pt idx="0">
                  <c:v>Maritimes</c:v>
                </c:pt>
              </c:strCache>
            </c:strRef>
          </c:tx>
          <c:spPr>
            <a:ln w="381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Data'!$C$50:$BL$50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Data'!$C$57:$BL$57</c:f>
              <c:numCache>
                <c:formatCode>0</c:formatCode>
                <c:ptCount val="62"/>
                <c:pt idx="0">
                  <c:v>73.506081438392386</c:v>
                </c:pt>
                <c:pt idx="1">
                  <c:v>94.130089899524066</c:v>
                </c:pt>
                <c:pt idx="2">
                  <c:v>105.76414595452141</c:v>
                </c:pt>
                <c:pt idx="3">
                  <c:v>115.28291909042835</c:v>
                </c:pt>
                <c:pt idx="4">
                  <c:v>127.4457958751983</c:v>
                </c:pt>
                <c:pt idx="5">
                  <c:v>140.13749338974088</c:v>
                </c:pt>
                <c:pt idx="6">
                  <c:v>144.89687995769435</c:v>
                </c:pt>
                <c:pt idx="7">
                  <c:v>145.42570068746696</c:v>
                </c:pt>
                <c:pt idx="8">
                  <c:v>167.10735060814383</c:v>
                </c:pt>
                <c:pt idx="9">
                  <c:v>170.80909571655209</c:v>
                </c:pt>
                <c:pt idx="10">
                  <c:v>173.98202009518772</c:v>
                </c:pt>
                <c:pt idx="11">
                  <c:v>187.73135906927553</c:v>
                </c:pt>
                <c:pt idx="12">
                  <c:v>196.72131147540983</c:v>
                </c:pt>
                <c:pt idx="13">
                  <c:v>201.4806980433633</c:v>
                </c:pt>
                <c:pt idx="14">
                  <c:v>218.93178212585934</c:v>
                </c:pt>
                <c:pt idx="15">
                  <c:v>228.97937599153886</c:v>
                </c:pt>
                <c:pt idx="16">
                  <c:v>239.0269698572184</c:v>
                </c:pt>
                <c:pt idx="17">
                  <c:v>232.68112109994712</c:v>
                </c:pt>
                <c:pt idx="18">
                  <c:v>244.31517715494448</c:v>
                </c:pt>
                <c:pt idx="19">
                  <c:v>260.17979904812267</c:v>
                </c:pt>
                <c:pt idx="20">
                  <c:v>257.53569539925962</c:v>
                </c:pt>
                <c:pt idx="21">
                  <c:v>243.25753569539927</c:v>
                </c:pt>
                <c:pt idx="22">
                  <c:v>235.85404547858275</c:v>
                </c:pt>
                <c:pt idx="23">
                  <c:v>248.01692226335271</c:v>
                </c:pt>
                <c:pt idx="24">
                  <c:v>240.61343204653622</c:v>
                </c:pt>
                <c:pt idx="25">
                  <c:v>234.79640401903754</c:v>
                </c:pt>
                <c:pt idx="26">
                  <c:v>198.30777366472765</c:v>
                </c:pt>
                <c:pt idx="27">
                  <c:v>197.77895293495504</c:v>
                </c:pt>
                <c:pt idx="28">
                  <c:v>203.59598096245372</c:v>
                </c:pt>
                <c:pt idx="29">
                  <c:v>201.4806980433633</c:v>
                </c:pt>
                <c:pt idx="30">
                  <c:v>181.38551031200424</c:v>
                </c:pt>
                <c:pt idx="31">
                  <c:v>172.39555790586991</c:v>
                </c:pt>
                <c:pt idx="32">
                  <c:v>164.46324695928081</c:v>
                </c:pt>
                <c:pt idx="33">
                  <c:v>159.17503966155473</c:v>
                </c:pt>
                <c:pt idx="34">
                  <c:v>158.11739820200953</c:v>
                </c:pt>
                <c:pt idx="35">
                  <c:v>136.43574828133262</c:v>
                </c:pt>
                <c:pt idx="36">
                  <c:v>127.97461660497092</c:v>
                </c:pt>
                <c:pt idx="37">
                  <c:v>117.92702273929137</c:v>
                </c:pt>
                <c:pt idx="38">
                  <c:v>108.93707033315705</c:v>
                </c:pt>
                <c:pt idx="39">
                  <c:v>58.17028027498678</c:v>
                </c:pt>
                <c:pt idx="40">
                  <c:v>55.526176626123743</c:v>
                </c:pt>
                <c:pt idx="41">
                  <c:v>35.959809624537279</c:v>
                </c:pt>
                <c:pt idx="42">
                  <c:v>32.786885245901637</c:v>
                </c:pt>
                <c:pt idx="43">
                  <c:v>27.498677948175569</c:v>
                </c:pt>
                <c:pt idx="44">
                  <c:v>22.210470650449498</c:v>
                </c:pt>
                <c:pt idx="45">
                  <c:v>16.922263352723427</c:v>
                </c:pt>
                <c:pt idx="46">
                  <c:v>16.922263352723427</c:v>
                </c:pt>
                <c:pt idx="47">
                  <c:v>15.864621893178212</c:v>
                </c:pt>
                <c:pt idx="48">
                  <c:v>15.864621893178212</c:v>
                </c:pt>
                <c:pt idx="49">
                  <c:v>12.162876784769963</c:v>
                </c:pt>
                <c:pt idx="50">
                  <c:v>10.576414595452142</c:v>
                </c:pt>
                <c:pt idx="51">
                  <c:v>10.047593865679534</c:v>
                </c:pt>
                <c:pt idx="52">
                  <c:v>11.634056054997355</c:v>
                </c:pt>
                <c:pt idx="53">
                  <c:v>13.220518244315176</c:v>
                </c:pt>
                <c:pt idx="54">
                  <c:v>13.749338974087784</c:v>
                </c:pt>
                <c:pt idx="55">
                  <c:v>14.278159703860391</c:v>
                </c:pt>
                <c:pt idx="56">
                  <c:v>13.220518244315176</c:v>
                </c:pt>
                <c:pt idx="57">
                  <c:v>9.5187731359069279</c:v>
                </c:pt>
                <c:pt idx="58">
                  <c:v>10.576414595452142</c:v>
                </c:pt>
                <c:pt idx="59">
                  <c:v>8.9899524061343197</c:v>
                </c:pt>
                <c:pt idx="60">
                  <c:v>7.932310946589106</c:v>
                </c:pt>
                <c:pt idx="61">
                  <c:v>3.7017451084082498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8D-4A41-B52D-72EEF49A1436}"/>
            </c:ext>
          </c:extLst>
        </c:ser>
        <c:ser>
          <c:idx val="9"/>
          <c:order val="7"/>
          <c:tx>
            <c:strRef>
              <c:f>'Graph Data'!$B$58</c:f>
              <c:strCache>
                <c:ptCount val="1"/>
                <c:pt idx="0">
                  <c:v>NFLD</c:v>
                </c:pt>
              </c:strCache>
            </c:strRef>
          </c:tx>
          <c:spPr>
            <a:ln w="381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Data'!$C$50:$BL$50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Data'!$C$58:$BL$58</c:f>
              <c:numCache>
                <c:formatCode>0</c:formatCode>
                <c:ptCount val="62"/>
                <c:pt idx="0">
                  <c:v>194.6564885496183</c:v>
                </c:pt>
                <c:pt idx="1">
                  <c:v>221.37404580152671</c:v>
                </c:pt>
                <c:pt idx="2">
                  <c:v>272.90076335877859</c:v>
                </c:pt>
                <c:pt idx="3">
                  <c:v>274.80916030534348</c:v>
                </c:pt>
                <c:pt idx="4">
                  <c:v>318.70229007633588</c:v>
                </c:pt>
                <c:pt idx="5">
                  <c:v>328.24427480916029</c:v>
                </c:pt>
                <c:pt idx="6">
                  <c:v>354.96183206106866</c:v>
                </c:pt>
                <c:pt idx="7">
                  <c:v>351.14503816793894</c:v>
                </c:pt>
                <c:pt idx="8">
                  <c:v>366.41221374045801</c:v>
                </c:pt>
                <c:pt idx="9">
                  <c:v>337.78625954198469</c:v>
                </c:pt>
                <c:pt idx="10">
                  <c:v>297.70992366412213</c:v>
                </c:pt>
                <c:pt idx="11">
                  <c:v>263.35877862595419</c:v>
                </c:pt>
                <c:pt idx="12">
                  <c:v>255.72519083969465</c:v>
                </c:pt>
                <c:pt idx="13">
                  <c:v>227.09923664122135</c:v>
                </c:pt>
                <c:pt idx="14">
                  <c:v>227.09923664122135</c:v>
                </c:pt>
                <c:pt idx="15">
                  <c:v>175.57251908396947</c:v>
                </c:pt>
                <c:pt idx="16">
                  <c:v>162.21374045801525</c:v>
                </c:pt>
                <c:pt idx="17">
                  <c:v>150.76335877862596</c:v>
                </c:pt>
                <c:pt idx="18">
                  <c:v>146.94656488549617</c:v>
                </c:pt>
                <c:pt idx="19">
                  <c:v>122.13740458015266</c:v>
                </c:pt>
                <c:pt idx="20">
                  <c:v>118.32061068702289</c:v>
                </c:pt>
                <c:pt idx="21">
                  <c:v>112.59541984732824</c:v>
                </c:pt>
                <c:pt idx="22">
                  <c:v>103.05343511450381</c:v>
                </c:pt>
                <c:pt idx="23">
                  <c:v>91.603053435114504</c:v>
                </c:pt>
                <c:pt idx="24">
                  <c:v>87.786259541984734</c:v>
                </c:pt>
                <c:pt idx="25">
                  <c:v>87.786259541984734</c:v>
                </c:pt>
                <c:pt idx="26">
                  <c:v>62.977099236641216</c:v>
                </c:pt>
                <c:pt idx="27">
                  <c:v>62.977099236641216</c:v>
                </c:pt>
                <c:pt idx="28">
                  <c:v>62.977099236641216</c:v>
                </c:pt>
                <c:pt idx="29">
                  <c:v>57.251908396946561</c:v>
                </c:pt>
                <c:pt idx="30">
                  <c:v>49.618320610687022</c:v>
                </c:pt>
                <c:pt idx="31">
                  <c:v>47.709923664122137</c:v>
                </c:pt>
                <c:pt idx="32">
                  <c:v>43.893129770992367</c:v>
                </c:pt>
                <c:pt idx="33">
                  <c:v>28.625954198473281</c:v>
                </c:pt>
                <c:pt idx="34">
                  <c:v>22.900763358778626</c:v>
                </c:pt>
                <c:pt idx="35">
                  <c:v>26.717557251908396</c:v>
                </c:pt>
                <c:pt idx="36">
                  <c:v>26.717557251908396</c:v>
                </c:pt>
                <c:pt idx="37">
                  <c:v>26.717557251908396</c:v>
                </c:pt>
                <c:pt idx="38">
                  <c:v>26.717557251908396</c:v>
                </c:pt>
                <c:pt idx="39">
                  <c:v>26.717557251908396</c:v>
                </c:pt>
                <c:pt idx="40">
                  <c:v>20.992366412213741</c:v>
                </c:pt>
                <c:pt idx="41">
                  <c:v>19.083969465648853</c:v>
                </c:pt>
                <c:pt idx="42">
                  <c:v>17.175572519083968</c:v>
                </c:pt>
                <c:pt idx="43">
                  <c:v>15.267175572519083</c:v>
                </c:pt>
                <c:pt idx="44">
                  <c:v>15.267175572519083</c:v>
                </c:pt>
                <c:pt idx="45">
                  <c:v>13.358778625954198</c:v>
                </c:pt>
                <c:pt idx="46">
                  <c:v>7.6335877862595414</c:v>
                </c:pt>
                <c:pt idx="47">
                  <c:v>7.6335877862595414</c:v>
                </c:pt>
                <c:pt idx="48">
                  <c:v>7.6335877862595414</c:v>
                </c:pt>
                <c:pt idx="49">
                  <c:v>5.7251908396946565</c:v>
                </c:pt>
                <c:pt idx="50">
                  <c:v>5.7251908396946565</c:v>
                </c:pt>
                <c:pt idx="51">
                  <c:v>3.8167938931297707</c:v>
                </c:pt>
                <c:pt idx="52">
                  <c:v>3.8167938931297707</c:v>
                </c:pt>
                <c:pt idx="53">
                  <c:v>5.7251908396946565</c:v>
                </c:pt>
                <c:pt idx="54">
                  <c:v>5.7251908396946565</c:v>
                </c:pt>
                <c:pt idx="55">
                  <c:v>5.7251908396946565</c:v>
                </c:pt>
                <c:pt idx="56">
                  <c:v>5.7251908396946565</c:v>
                </c:pt>
                <c:pt idx="57">
                  <c:v>3.8167938931297707</c:v>
                </c:pt>
                <c:pt idx="58">
                  <c:v>3.8167938931297707</c:v>
                </c:pt>
                <c:pt idx="59">
                  <c:v>3.8167938931297707</c:v>
                </c:pt>
                <c:pt idx="60">
                  <c:v>3.8167938931297707</c:v>
                </c:pt>
                <c:pt idx="61">
                  <c:v>3.8167938931297707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8D-4A41-B52D-72EEF49A1436}"/>
            </c:ext>
          </c:extLst>
        </c:ser>
        <c:ser>
          <c:idx val="10"/>
          <c:order val="8"/>
          <c:tx>
            <c:strRef>
              <c:f>'Graph Data'!$B$59</c:f>
              <c:strCache>
                <c:ptCount val="1"/>
                <c:pt idx="0">
                  <c:v>Canada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Data'!$C$50:$BL$50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Data'!$C$59:$BL$59</c:f>
              <c:numCache>
                <c:formatCode>0</c:formatCode>
                <c:ptCount val="62"/>
                <c:pt idx="0">
                  <c:v>115.13297872340425</c:v>
                </c:pt>
                <c:pt idx="1">
                  <c:v>141.14361702127658</c:v>
                </c:pt>
                <c:pt idx="2">
                  <c:v>167.39361702127658</c:v>
                </c:pt>
                <c:pt idx="3">
                  <c:v>192.7659574468085</c:v>
                </c:pt>
                <c:pt idx="4">
                  <c:v>214.89361702127658</c:v>
                </c:pt>
                <c:pt idx="5">
                  <c:v>249.17553191489361</c:v>
                </c:pt>
                <c:pt idx="6">
                  <c:v>265.74468085106383</c:v>
                </c:pt>
                <c:pt idx="7">
                  <c:v>297.39361702127661</c:v>
                </c:pt>
                <c:pt idx="8">
                  <c:v>337.81914893617022</c:v>
                </c:pt>
                <c:pt idx="9">
                  <c:v>358.13829787234039</c:v>
                </c:pt>
                <c:pt idx="10">
                  <c:v>377.71276595744678</c:v>
                </c:pt>
                <c:pt idx="11">
                  <c:v>397.47340425531911</c:v>
                </c:pt>
                <c:pt idx="12">
                  <c:v>413.98936170212767</c:v>
                </c:pt>
                <c:pt idx="13">
                  <c:v>431.83510638297872</c:v>
                </c:pt>
                <c:pt idx="14">
                  <c:v>455.95744680851061</c:v>
                </c:pt>
                <c:pt idx="15">
                  <c:v>477.23404255319144</c:v>
                </c:pt>
                <c:pt idx="16">
                  <c:v>489.57446808510639</c:v>
                </c:pt>
                <c:pt idx="17">
                  <c:v>510.13297872340422</c:v>
                </c:pt>
                <c:pt idx="18">
                  <c:v>533.88297872340422</c:v>
                </c:pt>
                <c:pt idx="19">
                  <c:v>550.69148936170211</c:v>
                </c:pt>
                <c:pt idx="20">
                  <c:v>599.86702127659578</c:v>
                </c:pt>
                <c:pt idx="21">
                  <c:v>622.87234042553189</c:v>
                </c:pt>
                <c:pt idx="22">
                  <c:v>644.41489361702122</c:v>
                </c:pt>
                <c:pt idx="23">
                  <c:v>670.26595744680844</c:v>
                </c:pt>
                <c:pt idx="24">
                  <c:v>692.68617021276589</c:v>
                </c:pt>
                <c:pt idx="25">
                  <c:v>703.59042553191489</c:v>
                </c:pt>
                <c:pt idx="26">
                  <c:v>732.04787234042556</c:v>
                </c:pt>
                <c:pt idx="27">
                  <c:v>742.97872340425533</c:v>
                </c:pt>
                <c:pt idx="28">
                  <c:v>751.968085106383</c:v>
                </c:pt>
                <c:pt idx="29">
                  <c:v>761.40957446808511</c:v>
                </c:pt>
                <c:pt idx="30">
                  <c:v>769.12234042553189</c:v>
                </c:pt>
                <c:pt idx="31">
                  <c:v>780.50531914893611</c:v>
                </c:pt>
                <c:pt idx="32">
                  <c:v>821.83510638297867</c:v>
                </c:pt>
                <c:pt idx="33">
                  <c:v>824.73404255319144</c:v>
                </c:pt>
                <c:pt idx="34">
                  <c:v>825.07978723404256</c:v>
                </c:pt>
                <c:pt idx="35">
                  <c:v>836.67553191489355</c:v>
                </c:pt>
                <c:pt idx="36">
                  <c:v>836.67553191489355</c:v>
                </c:pt>
                <c:pt idx="37">
                  <c:v>844.68085106382978</c:v>
                </c:pt>
                <c:pt idx="38">
                  <c:v>850.90425531914889</c:v>
                </c:pt>
                <c:pt idx="39">
                  <c:v>849.627659574468</c:v>
                </c:pt>
                <c:pt idx="40">
                  <c:v>846.19680851063822</c:v>
                </c:pt>
                <c:pt idx="41">
                  <c:v>849.06914893617022</c:v>
                </c:pt>
                <c:pt idx="42">
                  <c:v>854.89361702127655</c:v>
                </c:pt>
                <c:pt idx="43">
                  <c:v>860.79787234042556</c:v>
                </c:pt>
                <c:pt idx="44">
                  <c:v>877.71276595744678</c:v>
                </c:pt>
                <c:pt idx="45">
                  <c:v>881.64893617021278</c:v>
                </c:pt>
                <c:pt idx="46">
                  <c:v>886.56914893617022</c:v>
                </c:pt>
                <c:pt idx="47">
                  <c:v>889.813829787234</c:v>
                </c:pt>
                <c:pt idx="48">
                  <c:v>894.57446808510633</c:v>
                </c:pt>
                <c:pt idx="49">
                  <c:v>905.07978723404256</c:v>
                </c:pt>
                <c:pt idx="50">
                  <c:v>918.27127659574467</c:v>
                </c:pt>
                <c:pt idx="51">
                  <c:v>922.04787234042544</c:v>
                </c:pt>
                <c:pt idx="52">
                  <c:v>919.94680851063822</c:v>
                </c:pt>
                <c:pt idx="53">
                  <c:v>925.39893617021278</c:v>
                </c:pt>
                <c:pt idx="54">
                  <c:v>928.75</c:v>
                </c:pt>
                <c:pt idx="55">
                  <c:v>931.22340425531911</c:v>
                </c:pt>
                <c:pt idx="56">
                  <c:v>921.62234042553189</c:v>
                </c:pt>
                <c:pt idx="57">
                  <c:v>921.75531914893611</c:v>
                </c:pt>
                <c:pt idx="58">
                  <c:v>918.59042553191489</c:v>
                </c:pt>
                <c:pt idx="59">
                  <c:v>913.563829787234</c:v>
                </c:pt>
                <c:pt idx="60">
                  <c:v>905.95744680851055</c:v>
                </c:pt>
                <c:pt idx="61">
                  <c:v>895.47872340425533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F8D-4A41-B52D-72EEF49A1436}"/>
            </c:ext>
          </c:extLst>
        </c:ser>
        <c:ser>
          <c:idx val="11"/>
          <c:order val="9"/>
          <c:tx>
            <c:strRef>
              <c:f>'Graph Data'!$B$60</c:f>
              <c:strCache>
                <c:ptCount val="1"/>
                <c:pt idx="0">
                  <c:v>USA</c:v>
                </c:pt>
              </c:strCache>
            </c:strRef>
          </c:tx>
          <c:spPr>
            <a:ln w="38100" cap="rnd">
              <a:solidFill>
                <a:schemeClr val="accent6">
                  <a:lumMod val="6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Data'!$C$50:$BL$50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Data'!$C$60:$BL$60</c:f>
              <c:numCache>
                <c:formatCode>0</c:formatCode>
                <c:ptCount val="62"/>
                <c:pt idx="0">
                  <c:v>291.61467889908255</c:v>
                </c:pt>
                <c:pt idx="1">
                  <c:v>342.17431192660553</c:v>
                </c:pt>
                <c:pt idx="2">
                  <c:v>465.09174311926603</c:v>
                </c:pt>
                <c:pt idx="3">
                  <c:v>533.83180428134551</c:v>
                </c:pt>
                <c:pt idx="4">
                  <c:v>603.25688073394497</c:v>
                </c:pt>
                <c:pt idx="5">
                  <c:v>681.52905198776762</c:v>
                </c:pt>
                <c:pt idx="6">
                  <c:v>784.1559633027523</c:v>
                </c:pt>
                <c:pt idx="7">
                  <c:v>874.29051987767582</c:v>
                </c:pt>
                <c:pt idx="8">
                  <c:v>1020.7400611620795</c:v>
                </c:pt>
                <c:pt idx="9">
                  <c:v>1102.0122324159022</c:v>
                </c:pt>
                <c:pt idx="10">
                  <c:v>1185.4495412844037</c:v>
                </c:pt>
                <c:pt idx="11">
                  <c:v>1275.4464831804282</c:v>
                </c:pt>
                <c:pt idx="12">
                  <c:v>1363.9388379204893</c:v>
                </c:pt>
                <c:pt idx="13">
                  <c:v>1451.7370030581039</c:v>
                </c:pt>
                <c:pt idx="14">
                  <c:v>1586.4556574923547</c:v>
                </c:pt>
                <c:pt idx="15">
                  <c:v>1647.1743119266055</c:v>
                </c:pt>
                <c:pt idx="16">
                  <c:v>1720.17125382263</c:v>
                </c:pt>
                <c:pt idx="17">
                  <c:v>1755.9602446483179</c:v>
                </c:pt>
                <c:pt idx="18">
                  <c:v>1831.1834862385322</c:v>
                </c:pt>
                <c:pt idx="19">
                  <c:v>1901.2584097859328</c:v>
                </c:pt>
                <c:pt idx="20">
                  <c:v>2017.1896024464831</c:v>
                </c:pt>
                <c:pt idx="21">
                  <c:v>2056.1009174311926</c:v>
                </c:pt>
                <c:pt idx="22">
                  <c:v>2127.2048929663611</c:v>
                </c:pt>
                <c:pt idx="23">
                  <c:v>2216.0856269113151</c:v>
                </c:pt>
                <c:pt idx="24">
                  <c:v>2291.5565749235475</c:v>
                </c:pt>
                <c:pt idx="25">
                  <c:v>2354.2018348623851</c:v>
                </c:pt>
                <c:pt idx="26">
                  <c:v>2407.7859327217125</c:v>
                </c:pt>
                <c:pt idx="27">
                  <c:v>2468.7859327217125</c:v>
                </c:pt>
                <c:pt idx="28">
                  <c:v>2582.2018348623851</c:v>
                </c:pt>
                <c:pt idx="29">
                  <c:v>2652.7033639143733</c:v>
                </c:pt>
                <c:pt idx="30">
                  <c:v>2729.3730886850153</c:v>
                </c:pt>
                <c:pt idx="31">
                  <c:v>2798.8623853211011</c:v>
                </c:pt>
                <c:pt idx="32">
                  <c:v>2924.34250764526</c:v>
                </c:pt>
                <c:pt idx="33">
                  <c:v>2924.4831804281343</c:v>
                </c:pt>
                <c:pt idx="34">
                  <c:v>2985.8715596330276</c:v>
                </c:pt>
                <c:pt idx="35">
                  <c:v>3045.547400611621</c:v>
                </c:pt>
                <c:pt idx="36">
                  <c:v>3099.3516819571864</c:v>
                </c:pt>
                <c:pt idx="37">
                  <c:v>3148.5840978593274</c:v>
                </c:pt>
                <c:pt idx="38">
                  <c:v>3180</c:v>
                </c:pt>
                <c:pt idx="39">
                  <c:v>3189.5382262996941</c:v>
                </c:pt>
                <c:pt idx="40">
                  <c:v>3185.3088685015291</c:v>
                </c:pt>
                <c:pt idx="41">
                  <c:v>3205.7859327217125</c:v>
                </c:pt>
                <c:pt idx="42">
                  <c:v>3269.4617737003059</c:v>
                </c:pt>
                <c:pt idx="43">
                  <c:v>3289.1987767584096</c:v>
                </c:pt>
                <c:pt idx="44">
                  <c:v>3363.0152905198775</c:v>
                </c:pt>
                <c:pt idx="45">
                  <c:v>3396.4648318042814</c:v>
                </c:pt>
                <c:pt idx="46">
                  <c:v>3443.6238532110092</c:v>
                </c:pt>
                <c:pt idx="47">
                  <c:v>3471.6452599388381</c:v>
                </c:pt>
                <c:pt idx="48">
                  <c:v>3526.6330275229357</c:v>
                </c:pt>
                <c:pt idx="49">
                  <c:v>3433.0672782874617</c:v>
                </c:pt>
                <c:pt idx="50">
                  <c:v>3497.3241590214066</c:v>
                </c:pt>
                <c:pt idx="51">
                  <c:v>3510.7675840978595</c:v>
                </c:pt>
                <c:pt idx="52">
                  <c:v>3530.8348623853212</c:v>
                </c:pt>
                <c:pt idx="53">
                  <c:v>3556.8899082568805</c:v>
                </c:pt>
                <c:pt idx="54">
                  <c:v>3607.5718654434249</c:v>
                </c:pt>
                <c:pt idx="55">
                  <c:v>3598.3455657492354</c:v>
                </c:pt>
                <c:pt idx="56">
                  <c:v>3470.1896024464831</c:v>
                </c:pt>
                <c:pt idx="57">
                  <c:v>3505.6850152905199</c:v>
                </c:pt>
                <c:pt idx="58">
                  <c:v>3477.0489296636088</c:v>
                </c:pt>
                <c:pt idx="59">
                  <c:v>3404.4373088685015</c:v>
                </c:pt>
                <c:pt idx="60">
                  <c:v>3430.434250764526</c:v>
                </c:pt>
                <c:pt idx="61">
                  <c:v>3435.2568807339449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F8D-4A41-B52D-72EEF49A143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7080640"/>
        <c:axId val="157079000"/>
        <c:extLst/>
      </c:lineChart>
      <c:dateAx>
        <c:axId val="157080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79000"/>
        <c:crosses val="autoZero"/>
        <c:auto val="1"/>
        <c:lblOffset val="100"/>
        <c:baseTimeUnit val="days"/>
      </c:dateAx>
      <c:valAx>
        <c:axId val="15707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Active Cases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Data'!$B$103</c:f>
              <c:strCache>
                <c:ptCount val="1"/>
                <c:pt idx="0">
                  <c:v>Ontario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Data'!$C$103:$BL$103</c:f>
              <c:numCache>
                <c:formatCode>0</c:formatCode>
                <c:ptCount val="62"/>
                <c:pt idx="0">
                  <c:v>967</c:v>
                </c:pt>
                <c:pt idx="1">
                  <c:v>1326</c:v>
                </c:pt>
                <c:pt idx="2">
                  <c:v>1242</c:v>
                </c:pt>
                <c:pt idx="3">
                  <c:v>1399</c:v>
                </c:pt>
                <c:pt idx="4">
                  <c:v>1666</c:v>
                </c:pt>
                <c:pt idx="5">
                  <c:v>1909</c:v>
                </c:pt>
                <c:pt idx="6">
                  <c:v>2165</c:v>
                </c:pt>
                <c:pt idx="7">
                  <c:v>2317</c:v>
                </c:pt>
                <c:pt idx="8">
                  <c:v>2591</c:v>
                </c:pt>
                <c:pt idx="9">
                  <c:v>2771</c:v>
                </c:pt>
                <c:pt idx="10">
                  <c:v>3028</c:v>
                </c:pt>
                <c:pt idx="11">
                  <c:v>3254</c:v>
                </c:pt>
                <c:pt idx="12">
                  <c:v>3441</c:v>
                </c:pt>
                <c:pt idx="13">
                  <c:v>3537</c:v>
                </c:pt>
                <c:pt idx="14">
                  <c:v>3822</c:v>
                </c:pt>
                <c:pt idx="15">
                  <c:v>4051</c:v>
                </c:pt>
                <c:pt idx="16">
                  <c:v>4190</c:v>
                </c:pt>
                <c:pt idx="17">
                  <c:v>4344</c:v>
                </c:pt>
                <c:pt idx="18">
                  <c:v>4491</c:v>
                </c:pt>
                <c:pt idx="19">
                  <c:v>4578</c:v>
                </c:pt>
                <c:pt idx="20">
                  <c:v>5085</c:v>
                </c:pt>
                <c:pt idx="21">
                  <c:v>5307</c:v>
                </c:pt>
                <c:pt idx="22">
                  <c:v>5365</c:v>
                </c:pt>
                <c:pt idx="23">
                  <c:v>5486</c:v>
                </c:pt>
                <c:pt idx="24">
                  <c:v>5669</c:v>
                </c:pt>
                <c:pt idx="25">
                  <c:v>5675</c:v>
                </c:pt>
                <c:pt idx="26">
                  <c:v>5439</c:v>
                </c:pt>
                <c:pt idx="27">
                  <c:v>5466</c:v>
                </c:pt>
                <c:pt idx="28">
                  <c:v>5120</c:v>
                </c:pt>
                <c:pt idx="29">
                  <c:v>4900</c:v>
                </c:pt>
                <c:pt idx="30">
                  <c:v>4662</c:v>
                </c:pt>
                <c:pt idx="31">
                  <c:v>4553</c:v>
                </c:pt>
                <c:pt idx="32">
                  <c:v>4118</c:v>
                </c:pt>
                <c:pt idx="33">
                  <c:v>4170</c:v>
                </c:pt>
                <c:pt idx="34">
                  <c:v>4071</c:v>
                </c:pt>
                <c:pt idx="35">
                  <c:v>4075</c:v>
                </c:pt>
                <c:pt idx="36">
                  <c:v>4068</c:v>
                </c:pt>
                <c:pt idx="37">
                  <c:v>3962</c:v>
                </c:pt>
                <c:pt idx="38">
                  <c:v>3746</c:v>
                </c:pt>
                <c:pt idx="39">
                  <c:v>3791</c:v>
                </c:pt>
                <c:pt idx="40">
                  <c:v>3626</c:v>
                </c:pt>
                <c:pt idx="41">
                  <c:v>3492</c:v>
                </c:pt>
                <c:pt idx="42">
                  <c:v>3456</c:v>
                </c:pt>
                <c:pt idx="43">
                  <c:v>3435</c:v>
                </c:pt>
                <c:pt idx="44">
                  <c:v>3415</c:v>
                </c:pt>
                <c:pt idx="45">
                  <c:v>3567</c:v>
                </c:pt>
                <c:pt idx="46">
                  <c:v>3622</c:v>
                </c:pt>
                <c:pt idx="47">
                  <c:v>3685</c:v>
                </c:pt>
                <c:pt idx="48">
                  <c:v>3840</c:v>
                </c:pt>
                <c:pt idx="49">
                  <c:v>3846</c:v>
                </c:pt>
                <c:pt idx="50">
                  <c:v>4104</c:v>
                </c:pt>
                <c:pt idx="51">
                  <c:v>4110</c:v>
                </c:pt>
                <c:pt idx="52">
                  <c:v>3956</c:v>
                </c:pt>
                <c:pt idx="53">
                  <c:v>4004</c:v>
                </c:pt>
                <c:pt idx="54">
                  <c:v>3997</c:v>
                </c:pt>
                <c:pt idx="55">
                  <c:v>3933</c:v>
                </c:pt>
                <c:pt idx="56">
                  <c:v>3834</c:v>
                </c:pt>
                <c:pt idx="57">
                  <c:v>3932</c:v>
                </c:pt>
                <c:pt idx="58">
                  <c:v>3924</c:v>
                </c:pt>
                <c:pt idx="59">
                  <c:v>3838</c:v>
                </c:pt>
                <c:pt idx="60">
                  <c:v>3792</c:v>
                </c:pt>
                <c:pt idx="61">
                  <c:v>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5-4EA9-B9DD-70801A41D5AA}"/>
            </c:ext>
          </c:extLst>
        </c:ser>
        <c:ser>
          <c:idx val="1"/>
          <c:order val="1"/>
          <c:tx>
            <c:strRef>
              <c:f>'Graph Data'!$B$104</c:f>
              <c:strCache>
                <c:ptCount val="1"/>
                <c:pt idx="0">
                  <c:v>Quebec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Data'!$C$104:$BL$104</c:f>
              <c:numCache>
                <c:formatCode>0</c:formatCode>
                <c:ptCount val="62"/>
                <c:pt idx="0">
                  <c:v>1974</c:v>
                </c:pt>
                <c:pt idx="1">
                  <c:v>2447</c:v>
                </c:pt>
                <c:pt idx="2">
                  <c:v>3376</c:v>
                </c:pt>
                <c:pt idx="3">
                  <c:v>4102</c:v>
                </c:pt>
                <c:pt idx="4">
                  <c:v>4549</c:v>
                </c:pt>
                <c:pt idx="5">
                  <c:v>5453</c:v>
                </c:pt>
                <c:pt idx="6">
                  <c:v>5734</c:v>
                </c:pt>
                <c:pt idx="7">
                  <c:v>6616</c:v>
                </c:pt>
                <c:pt idx="8">
                  <c:v>7848</c:v>
                </c:pt>
                <c:pt idx="9">
                  <c:v>8470</c:v>
                </c:pt>
                <c:pt idx="10">
                  <c:v>9029</c:v>
                </c:pt>
                <c:pt idx="11">
                  <c:v>9584</c:v>
                </c:pt>
                <c:pt idx="12">
                  <c:v>10095</c:v>
                </c:pt>
                <c:pt idx="13">
                  <c:v>10662</c:v>
                </c:pt>
                <c:pt idx="14">
                  <c:v>11215</c:v>
                </c:pt>
                <c:pt idx="15">
                  <c:v>11667</c:v>
                </c:pt>
                <c:pt idx="16">
                  <c:v>11882</c:v>
                </c:pt>
                <c:pt idx="17">
                  <c:v>12386</c:v>
                </c:pt>
                <c:pt idx="18">
                  <c:v>13033</c:v>
                </c:pt>
                <c:pt idx="19">
                  <c:v>13401</c:v>
                </c:pt>
                <c:pt idx="20">
                  <c:v>14533</c:v>
                </c:pt>
                <c:pt idx="21">
                  <c:v>15037</c:v>
                </c:pt>
                <c:pt idx="22">
                  <c:v>15540</c:v>
                </c:pt>
                <c:pt idx="23">
                  <c:v>16111</c:v>
                </c:pt>
                <c:pt idx="24">
                  <c:v>16552</c:v>
                </c:pt>
                <c:pt idx="25">
                  <c:v>16764</c:v>
                </c:pt>
                <c:pt idx="26">
                  <c:v>17866</c:v>
                </c:pt>
                <c:pt idx="27">
                  <c:v>18234</c:v>
                </c:pt>
                <c:pt idx="28">
                  <c:v>18785</c:v>
                </c:pt>
                <c:pt idx="29">
                  <c:v>19380</c:v>
                </c:pt>
                <c:pt idx="30">
                  <c:v>19926</c:v>
                </c:pt>
                <c:pt idx="31">
                  <c:v>20555</c:v>
                </c:pt>
                <c:pt idx="32">
                  <c:v>22765</c:v>
                </c:pt>
                <c:pt idx="33">
                  <c:v>23096</c:v>
                </c:pt>
                <c:pt idx="34">
                  <c:v>23533</c:v>
                </c:pt>
                <c:pt idx="35">
                  <c:v>23934</c:v>
                </c:pt>
                <c:pt idx="36">
                  <c:v>24497</c:v>
                </c:pt>
                <c:pt idx="37">
                  <c:v>24932</c:v>
                </c:pt>
                <c:pt idx="38">
                  <c:v>25753</c:v>
                </c:pt>
                <c:pt idx="39">
                  <c:v>26038</c:v>
                </c:pt>
                <c:pt idx="40">
                  <c:v>26241</c:v>
                </c:pt>
                <c:pt idx="41">
                  <c:v>26631</c:v>
                </c:pt>
                <c:pt idx="42">
                  <c:v>26980</c:v>
                </c:pt>
                <c:pt idx="43">
                  <c:v>27242</c:v>
                </c:pt>
                <c:pt idx="44">
                  <c:v>27986</c:v>
                </c:pt>
                <c:pt idx="45">
                  <c:v>28053</c:v>
                </c:pt>
                <c:pt idx="46">
                  <c:v>28235</c:v>
                </c:pt>
                <c:pt idx="47">
                  <c:v>28368</c:v>
                </c:pt>
                <c:pt idx="48">
                  <c:v>28457</c:v>
                </c:pt>
                <c:pt idx="49">
                  <c:v>28854</c:v>
                </c:pt>
                <c:pt idx="50">
                  <c:v>29261</c:v>
                </c:pt>
                <c:pt idx="51">
                  <c:v>29460</c:v>
                </c:pt>
                <c:pt idx="52">
                  <c:v>29592</c:v>
                </c:pt>
                <c:pt idx="53">
                  <c:v>29782</c:v>
                </c:pt>
                <c:pt idx="54">
                  <c:v>29961</c:v>
                </c:pt>
                <c:pt idx="55">
                  <c:v>30142</c:v>
                </c:pt>
                <c:pt idx="56">
                  <c:v>30096</c:v>
                </c:pt>
                <c:pt idx="57">
                  <c:v>30077</c:v>
                </c:pt>
                <c:pt idx="58">
                  <c:v>29992</c:v>
                </c:pt>
                <c:pt idx="59">
                  <c:v>29922</c:v>
                </c:pt>
                <c:pt idx="60">
                  <c:v>29699</c:v>
                </c:pt>
                <c:pt idx="61">
                  <c:v>29242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5-4EA9-B9DD-70801A41D5AA}"/>
            </c:ext>
          </c:extLst>
        </c:ser>
        <c:ser>
          <c:idx val="3"/>
          <c:order val="2"/>
          <c:tx>
            <c:strRef>
              <c:f>'Graph Data'!$B$105</c:f>
              <c:strCache>
                <c:ptCount val="1"/>
                <c:pt idx="0">
                  <c:v>BC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Data'!$C$105:$BL$105</c:f>
              <c:numCache>
                <c:formatCode>0</c:formatCode>
                <c:ptCount val="62"/>
                <c:pt idx="0">
                  <c:v>501</c:v>
                </c:pt>
                <c:pt idx="1">
                  <c:v>471</c:v>
                </c:pt>
                <c:pt idx="2">
                  <c:v>482</c:v>
                </c:pt>
                <c:pt idx="3">
                  <c:v>482</c:v>
                </c:pt>
                <c:pt idx="4">
                  <c:v>435</c:v>
                </c:pt>
                <c:pt idx="5">
                  <c:v>449</c:v>
                </c:pt>
                <c:pt idx="6">
                  <c:v>498</c:v>
                </c:pt>
                <c:pt idx="7">
                  <c:v>461</c:v>
                </c:pt>
                <c:pt idx="8">
                  <c:v>444</c:v>
                </c:pt>
                <c:pt idx="9">
                  <c:v>443</c:v>
                </c:pt>
                <c:pt idx="10">
                  <c:v>450</c:v>
                </c:pt>
                <c:pt idx="11">
                  <c:v>468</c:v>
                </c:pt>
                <c:pt idx="12">
                  <c:v>476</c:v>
                </c:pt>
                <c:pt idx="13">
                  <c:v>482</c:v>
                </c:pt>
                <c:pt idx="14">
                  <c:v>495</c:v>
                </c:pt>
                <c:pt idx="15">
                  <c:v>503</c:v>
                </c:pt>
                <c:pt idx="16">
                  <c:v>491</c:v>
                </c:pt>
                <c:pt idx="17">
                  <c:v>514</c:v>
                </c:pt>
                <c:pt idx="18">
                  <c:v>574</c:v>
                </c:pt>
                <c:pt idx="19">
                  <c:v>579</c:v>
                </c:pt>
                <c:pt idx="20">
                  <c:v>574</c:v>
                </c:pt>
                <c:pt idx="21">
                  <c:v>596</c:v>
                </c:pt>
                <c:pt idx="22">
                  <c:v>626</c:v>
                </c:pt>
                <c:pt idx="23">
                  <c:v>638</c:v>
                </c:pt>
                <c:pt idx="24">
                  <c:v>641</c:v>
                </c:pt>
                <c:pt idx="25">
                  <c:v>711</c:v>
                </c:pt>
                <c:pt idx="26">
                  <c:v>705</c:v>
                </c:pt>
                <c:pt idx="27">
                  <c:v>717</c:v>
                </c:pt>
                <c:pt idx="28">
                  <c:v>673</c:v>
                </c:pt>
                <c:pt idx="29">
                  <c:v>676</c:v>
                </c:pt>
                <c:pt idx="30">
                  <c:v>679</c:v>
                </c:pt>
                <c:pt idx="31">
                  <c:v>676</c:v>
                </c:pt>
                <c:pt idx="32">
                  <c:v>690</c:v>
                </c:pt>
                <c:pt idx="33">
                  <c:v>639</c:v>
                </c:pt>
                <c:pt idx="34">
                  <c:v>637</c:v>
                </c:pt>
                <c:pt idx="35">
                  <c:v>650</c:v>
                </c:pt>
                <c:pt idx="36">
                  <c:v>609</c:v>
                </c:pt>
                <c:pt idx="37">
                  <c:v>542</c:v>
                </c:pt>
                <c:pt idx="38">
                  <c:v>504</c:v>
                </c:pt>
                <c:pt idx="39">
                  <c:v>397</c:v>
                </c:pt>
                <c:pt idx="40">
                  <c:v>385</c:v>
                </c:pt>
                <c:pt idx="41">
                  <c:v>372</c:v>
                </c:pt>
                <c:pt idx="42">
                  <c:v>359</c:v>
                </c:pt>
                <c:pt idx="43">
                  <c:v>355</c:v>
                </c:pt>
                <c:pt idx="44">
                  <c:v>335</c:v>
                </c:pt>
                <c:pt idx="45">
                  <c:v>325</c:v>
                </c:pt>
                <c:pt idx="46">
                  <c:v>343</c:v>
                </c:pt>
                <c:pt idx="47">
                  <c:v>307</c:v>
                </c:pt>
                <c:pt idx="48">
                  <c:v>310</c:v>
                </c:pt>
                <c:pt idx="49">
                  <c:v>303</c:v>
                </c:pt>
                <c:pt idx="50">
                  <c:v>266</c:v>
                </c:pt>
                <c:pt idx="51">
                  <c:v>258</c:v>
                </c:pt>
                <c:pt idx="52">
                  <c:v>244</c:v>
                </c:pt>
                <c:pt idx="53">
                  <c:v>241</c:v>
                </c:pt>
                <c:pt idx="54">
                  <c:v>228</c:v>
                </c:pt>
                <c:pt idx="55">
                  <c:v>228</c:v>
                </c:pt>
                <c:pt idx="56">
                  <c:v>225</c:v>
                </c:pt>
                <c:pt idx="57">
                  <c:v>207</c:v>
                </c:pt>
                <c:pt idx="58">
                  <c:v>214</c:v>
                </c:pt>
                <c:pt idx="59">
                  <c:v>201</c:v>
                </c:pt>
                <c:pt idx="60">
                  <c:v>193</c:v>
                </c:pt>
                <c:pt idx="61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5-4EA9-B9DD-70801A41D5AA}"/>
            </c:ext>
          </c:extLst>
        </c:ser>
        <c:ser>
          <c:idx val="2"/>
          <c:order val="3"/>
          <c:tx>
            <c:strRef>
              <c:f>'Graph Data'!$B$106</c:f>
              <c:strCache>
                <c:ptCount val="1"/>
                <c:pt idx="0">
                  <c:v>Alberta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Data'!$C$106:$BL$106</c:f>
              <c:numCache>
                <c:formatCode>0</c:formatCode>
                <c:ptCount val="62"/>
                <c:pt idx="0">
                  <c:v>507</c:v>
                </c:pt>
                <c:pt idx="1">
                  <c:v>566</c:v>
                </c:pt>
                <c:pt idx="2">
                  <c:v>588</c:v>
                </c:pt>
                <c:pt idx="3">
                  <c:v>625</c:v>
                </c:pt>
                <c:pt idx="4">
                  <c:v>718</c:v>
                </c:pt>
                <c:pt idx="5">
                  <c:v>781</c:v>
                </c:pt>
                <c:pt idx="6">
                  <c:v>849</c:v>
                </c:pt>
                <c:pt idx="7">
                  <c:v>965</c:v>
                </c:pt>
                <c:pt idx="8">
                  <c:v>932</c:v>
                </c:pt>
                <c:pt idx="9">
                  <c:v>900</c:v>
                </c:pt>
                <c:pt idx="10">
                  <c:v>875</c:v>
                </c:pt>
                <c:pt idx="11">
                  <c:v>827</c:v>
                </c:pt>
                <c:pt idx="12">
                  <c:v>748</c:v>
                </c:pt>
                <c:pt idx="13">
                  <c:v>756</c:v>
                </c:pt>
                <c:pt idx="14">
                  <c:v>809</c:v>
                </c:pt>
                <c:pt idx="15">
                  <c:v>908</c:v>
                </c:pt>
                <c:pt idx="16">
                  <c:v>1034</c:v>
                </c:pt>
                <c:pt idx="17">
                  <c:v>1194</c:v>
                </c:pt>
                <c:pt idx="18">
                  <c:v>1223</c:v>
                </c:pt>
                <c:pt idx="19">
                  <c:v>1164</c:v>
                </c:pt>
                <c:pt idx="20">
                  <c:v>1619</c:v>
                </c:pt>
                <c:pt idx="21">
                  <c:v>1761</c:v>
                </c:pt>
                <c:pt idx="22">
                  <c:v>2025</c:v>
                </c:pt>
                <c:pt idx="23">
                  <c:v>2296</c:v>
                </c:pt>
                <c:pt idx="24">
                  <c:v>2548</c:v>
                </c:pt>
                <c:pt idx="25">
                  <c:v>2679</c:v>
                </c:pt>
                <c:pt idx="26">
                  <c:v>2957</c:v>
                </c:pt>
                <c:pt idx="27">
                  <c:v>2970</c:v>
                </c:pt>
                <c:pt idx="28">
                  <c:v>3125</c:v>
                </c:pt>
                <c:pt idx="29">
                  <c:v>3105</c:v>
                </c:pt>
                <c:pt idx="30">
                  <c:v>3122</c:v>
                </c:pt>
                <c:pt idx="31">
                  <c:v>3042</c:v>
                </c:pt>
                <c:pt idx="32">
                  <c:v>2817</c:v>
                </c:pt>
                <c:pt idx="33">
                  <c:v>2568</c:v>
                </c:pt>
                <c:pt idx="34">
                  <c:v>2299</c:v>
                </c:pt>
                <c:pt idx="35">
                  <c:v>2094</c:v>
                </c:pt>
                <c:pt idx="36">
                  <c:v>1963</c:v>
                </c:pt>
                <c:pt idx="37">
                  <c:v>1837</c:v>
                </c:pt>
                <c:pt idx="38">
                  <c:v>1524</c:v>
                </c:pt>
                <c:pt idx="39">
                  <c:v>1361</c:v>
                </c:pt>
                <c:pt idx="40">
                  <c:v>1211</c:v>
                </c:pt>
                <c:pt idx="41">
                  <c:v>1131</c:v>
                </c:pt>
                <c:pt idx="42">
                  <c:v>1073</c:v>
                </c:pt>
                <c:pt idx="43">
                  <c:v>1084</c:v>
                </c:pt>
                <c:pt idx="44">
                  <c:v>1036</c:v>
                </c:pt>
                <c:pt idx="45">
                  <c:v>1004</c:v>
                </c:pt>
                <c:pt idx="46">
                  <c:v>970</c:v>
                </c:pt>
                <c:pt idx="47">
                  <c:v>926</c:v>
                </c:pt>
                <c:pt idx="48">
                  <c:v>865</c:v>
                </c:pt>
                <c:pt idx="49">
                  <c:v>814</c:v>
                </c:pt>
                <c:pt idx="50">
                  <c:v>762</c:v>
                </c:pt>
                <c:pt idx="51">
                  <c:v>714</c:v>
                </c:pt>
                <c:pt idx="52">
                  <c:v>679</c:v>
                </c:pt>
                <c:pt idx="53">
                  <c:v>652</c:v>
                </c:pt>
                <c:pt idx="54">
                  <c:v>618</c:v>
                </c:pt>
                <c:pt idx="55">
                  <c:v>604</c:v>
                </c:pt>
                <c:pt idx="56">
                  <c:v>400</c:v>
                </c:pt>
                <c:pt idx="57">
                  <c:v>377</c:v>
                </c:pt>
                <c:pt idx="58">
                  <c:v>344</c:v>
                </c:pt>
                <c:pt idx="59">
                  <c:v>334</c:v>
                </c:pt>
                <c:pt idx="60">
                  <c:v>328</c:v>
                </c:pt>
                <c:pt idx="61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C5-4EA9-B9DD-70801A41D5AA}"/>
            </c:ext>
          </c:extLst>
        </c:ser>
        <c:ser>
          <c:idx val="4"/>
          <c:order val="4"/>
          <c:tx>
            <c:strRef>
              <c:f>'Graph Data'!$B$107</c:f>
              <c:strCache>
                <c:ptCount val="1"/>
                <c:pt idx="0">
                  <c:v>Manitoba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Data'!$C$107:$BL$107</c:f>
              <c:numCache>
                <c:formatCode>0</c:formatCode>
                <c:ptCount val="62"/>
                <c:pt idx="0">
                  <c:v>38</c:v>
                </c:pt>
                <c:pt idx="1">
                  <c:v>63</c:v>
                </c:pt>
                <c:pt idx="2">
                  <c:v>93</c:v>
                </c:pt>
                <c:pt idx="3">
                  <c:v>98</c:v>
                </c:pt>
                <c:pt idx="4">
                  <c:v>122</c:v>
                </c:pt>
                <c:pt idx="5">
                  <c:v>155</c:v>
                </c:pt>
                <c:pt idx="6">
                  <c:v>172</c:v>
                </c:pt>
                <c:pt idx="7">
                  <c:v>181</c:v>
                </c:pt>
                <c:pt idx="8">
                  <c:v>185</c:v>
                </c:pt>
                <c:pt idx="9">
                  <c:v>193</c:v>
                </c:pt>
                <c:pt idx="10">
                  <c:v>149</c:v>
                </c:pt>
                <c:pt idx="11">
                  <c:v>145</c:v>
                </c:pt>
                <c:pt idx="12">
                  <c:v>134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133</c:v>
                </c:pt>
                <c:pt idx="17">
                  <c:v>124</c:v>
                </c:pt>
                <c:pt idx="18">
                  <c:v>113</c:v>
                </c:pt>
                <c:pt idx="19">
                  <c:v>108</c:v>
                </c:pt>
                <c:pt idx="20">
                  <c:v>104</c:v>
                </c:pt>
                <c:pt idx="21">
                  <c:v>99</c:v>
                </c:pt>
                <c:pt idx="22">
                  <c:v>97</c:v>
                </c:pt>
                <c:pt idx="23">
                  <c:v>82</c:v>
                </c:pt>
                <c:pt idx="24">
                  <c:v>61</c:v>
                </c:pt>
                <c:pt idx="25">
                  <c:v>62</c:v>
                </c:pt>
                <c:pt idx="26">
                  <c:v>61</c:v>
                </c:pt>
                <c:pt idx="27">
                  <c:v>61</c:v>
                </c:pt>
                <c:pt idx="28">
                  <c:v>54</c:v>
                </c:pt>
                <c:pt idx="29">
                  <c:v>49</c:v>
                </c:pt>
                <c:pt idx="30">
                  <c:v>38</c:v>
                </c:pt>
                <c:pt idx="31">
                  <c:v>38</c:v>
                </c:pt>
                <c:pt idx="32">
                  <c:v>37</c:v>
                </c:pt>
                <c:pt idx="33">
                  <c:v>37</c:v>
                </c:pt>
                <c:pt idx="34">
                  <c:v>34</c:v>
                </c:pt>
                <c:pt idx="35">
                  <c:v>34</c:v>
                </c:pt>
                <c:pt idx="36">
                  <c:v>30</c:v>
                </c:pt>
                <c:pt idx="37">
                  <c:v>30</c:v>
                </c:pt>
                <c:pt idx="38">
                  <c:v>35</c:v>
                </c:pt>
                <c:pt idx="39">
                  <c:v>32</c:v>
                </c:pt>
                <c:pt idx="40">
                  <c:v>32</c:v>
                </c:pt>
                <c:pt idx="41">
                  <c:v>30</c:v>
                </c:pt>
                <c:pt idx="42">
                  <c:v>28</c:v>
                </c:pt>
                <c:pt idx="43">
                  <c:v>25</c:v>
                </c:pt>
                <c:pt idx="44">
                  <c:v>26</c:v>
                </c:pt>
                <c:pt idx="45">
                  <c:v>26</c:v>
                </c:pt>
                <c:pt idx="46">
                  <c:v>23</c:v>
                </c:pt>
                <c:pt idx="47">
                  <c:v>18</c:v>
                </c:pt>
                <c:pt idx="48">
                  <c:v>18</c:v>
                </c:pt>
                <c:pt idx="49">
                  <c:v>17</c:v>
                </c:pt>
                <c:pt idx="50">
                  <c:v>17</c:v>
                </c:pt>
                <c:pt idx="51">
                  <c:v>16</c:v>
                </c:pt>
                <c:pt idx="52">
                  <c:v>14</c:v>
                </c:pt>
                <c:pt idx="53">
                  <c:v>14</c:v>
                </c:pt>
                <c:pt idx="54">
                  <c:v>14</c:v>
                </c:pt>
                <c:pt idx="55">
                  <c:v>9</c:v>
                </c:pt>
                <c:pt idx="56">
                  <c:v>10</c:v>
                </c:pt>
                <c:pt idx="57">
                  <c:v>12</c:v>
                </c:pt>
                <c:pt idx="58">
                  <c:v>9</c:v>
                </c:pt>
                <c:pt idx="59">
                  <c:v>7</c:v>
                </c:pt>
                <c:pt idx="60">
                  <c:v>9</c:v>
                </c:pt>
                <c:pt idx="6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C5-4EA9-B9DD-70801A41D5AA}"/>
            </c:ext>
          </c:extLst>
        </c:ser>
        <c:ser>
          <c:idx val="5"/>
          <c:order val="5"/>
          <c:tx>
            <c:strRef>
              <c:f>'Graph Data'!$B$108</c:f>
              <c:strCache>
                <c:ptCount val="1"/>
                <c:pt idx="0">
                  <c:v>Sask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Data'!$C$108:$BL$108</c:f>
              <c:numCache>
                <c:formatCode>0</c:formatCode>
                <c:ptCount val="62"/>
                <c:pt idx="0">
                  <c:v>101</c:v>
                </c:pt>
                <c:pt idx="1">
                  <c:v>131</c:v>
                </c:pt>
                <c:pt idx="2">
                  <c:v>166</c:v>
                </c:pt>
                <c:pt idx="3">
                  <c:v>161</c:v>
                </c:pt>
                <c:pt idx="4">
                  <c:v>160</c:v>
                </c:pt>
                <c:pt idx="5">
                  <c:v>167</c:v>
                </c:pt>
                <c:pt idx="6">
                  <c:v>169</c:v>
                </c:pt>
                <c:pt idx="7">
                  <c:v>173</c:v>
                </c:pt>
                <c:pt idx="8">
                  <c:v>169</c:v>
                </c:pt>
                <c:pt idx="9">
                  <c:v>169</c:v>
                </c:pt>
                <c:pt idx="10">
                  <c:v>165</c:v>
                </c:pt>
                <c:pt idx="11">
                  <c:v>160</c:v>
                </c:pt>
                <c:pt idx="12">
                  <c:v>146</c:v>
                </c:pt>
                <c:pt idx="13">
                  <c:v>138</c:v>
                </c:pt>
                <c:pt idx="14">
                  <c:v>118</c:v>
                </c:pt>
                <c:pt idx="15">
                  <c:v>110</c:v>
                </c:pt>
                <c:pt idx="16">
                  <c:v>95</c:v>
                </c:pt>
                <c:pt idx="17">
                  <c:v>82</c:v>
                </c:pt>
                <c:pt idx="18">
                  <c:v>75</c:v>
                </c:pt>
                <c:pt idx="19">
                  <c:v>75</c:v>
                </c:pt>
                <c:pt idx="20">
                  <c:v>74</c:v>
                </c:pt>
                <c:pt idx="21">
                  <c:v>64</c:v>
                </c:pt>
                <c:pt idx="22">
                  <c:v>61</c:v>
                </c:pt>
                <c:pt idx="23">
                  <c:v>57</c:v>
                </c:pt>
                <c:pt idx="24">
                  <c:v>57</c:v>
                </c:pt>
                <c:pt idx="25">
                  <c:v>57</c:v>
                </c:pt>
                <c:pt idx="26">
                  <c:v>72</c:v>
                </c:pt>
                <c:pt idx="27">
                  <c:v>70</c:v>
                </c:pt>
                <c:pt idx="28">
                  <c:v>86</c:v>
                </c:pt>
                <c:pt idx="29">
                  <c:v>88</c:v>
                </c:pt>
                <c:pt idx="30">
                  <c:v>112</c:v>
                </c:pt>
                <c:pt idx="31">
                  <c:v>113</c:v>
                </c:pt>
                <c:pt idx="32">
                  <c:v>154</c:v>
                </c:pt>
                <c:pt idx="33">
                  <c:v>171</c:v>
                </c:pt>
                <c:pt idx="34">
                  <c:v>194</c:v>
                </c:pt>
                <c:pt idx="35">
                  <c:v>196</c:v>
                </c:pt>
                <c:pt idx="36">
                  <c:v>203</c:v>
                </c:pt>
                <c:pt idx="37">
                  <c:v>207</c:v>
                </c:pt>
                <c:pt idx="38">
                  <c:v>199</c:v>
                </c:pt>
                <c:pt idx="39">
                  <c:v>193</c:v>
                </c:pt>
                <c:pt idx="40">
                  <c:v>186</c:v>
                </c:pt>
                <c:pt idx="41">
                  <c:v>178</c:v>
                </c:pt>
                <c:pt idx="42">
                  <c:v>176</c:v>
                </c:pt>
                <c:pt idx="43">
                  <c:v>152</c:v>
                </c:pt>
                <c:pt idx="44">
                  <c:v>131</c:v>
                </c:pt>
                <c:pt idx="45">
                  <c:v>123</c:v>
                </c:pt>
                <c:pt idx="46">
                  <c:v>119</c:v>
                </c:pt>
                <c:pt idx="47">
                  <c:v>106</c:v>
                </c:pt>
                <c:pt idx="48">
                  <c:v>99</c:v>
                </c:pt>
                <c:pt idx="49">
                  <c:v>88</c:v>
                </c:pt>
                <c:pt idx="50">
                  <c:v>81</c:v>
                </c:pt>
                <c:pt idx="51">
                  <c:v>77</c:v>
                </c:pt>
                <c:pt idx="52">
                  <c:v>68</c:v>
                </c:pt>
                <c:pt idx="53">
                  <c:v>61</c:v>
                </c:pt>
                <c:pt idx="54">
                  <c:v>61</c:v>
                </c:pt>
                <c:pt idx="55">
                  <c:v>55</c:v>
                </c:pt>
                <c:pt idx="56">
                  <c:v>47</c:v>
                </c:pt>
                <c:pt idx="57">
                  <c:v>33</c:v>
                </c:pt>
                <c:pt idx="58">
                  <c:v>34</c:v>
                </c:pt>
                <c:pt idx="59">
                  <c:v>29</c:v>
                </c:pt>
                <c:pt idx="60">
                  <c:v>27</c:v>
                </c:pt>
                <c:pt idx="6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C5-4EA9-B9DD-70801A41D5AA}"/>
            </c:ext>
          </c:extLst>
        </c:ser>
        <c:ser>
          <c:idx val="6"/>
          <c:order val="6"/>
          <c:tx>
            <c:strRef>
              <c:f>'Graph Data'!$B$109</c:f>
              <c:strCache>
                <c:ptCount val="1"/>
                <c:pt idx="0">
                  <c:v>NS</c:v>
                </c:pt>
              </c:strCache>
            </c:strRef>
          </c:tx>
          <c:spPr>
            <a:ln w="317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Data'!$C$109:$BL$109</c:f>
              <c:numCache>
                <c:formatCode>0</c:formatCode>
                <c:ptCount val="62"/>
                <c:pt idx="0">
                  <c:v>87</c:v>
                </c:pt>
                <c:pt idx="1">
                  <c:v>119</c:v>
                </c:pt>
                <c:pt idx="2">
                  <c:v>117</c:v>
                </c:pt>
                <c:pt idx="3">
                  <c:v>137</c:v>
                </c:pt>
                <c:pt idx="4">
                  <c:v>163</c:v>
                </c:pt>
                <c:pt idx="5">
                  <c:v>177</c:v>
                </c:pt>
                <c:pt idx="6">
                  <c:v>186</c:v>
                </c:pt>
                <c:pt idx="7">
                  <c:v>186</c:v>
                </c:pt>
                <c:pt idx="8">
                  <c:v>229</c:v>
                </c:pt>
                <c:pt idx="9">
                  <c:v>243</c:v>
                </c:pt>
                <c:pt idx="10">
                  <c:v>264</c:v>
                </c:pt>
                <c:pt idx="11">
                  <c:v>289</c:v>
                </c:pt>
                <c:pt idx="12">
                  <c:v>312</c:v>
                </c:pt>
                <c:pt idx="13">
                  <c:v>331</c:v>
                </c:pt>
                <c:pt idx="14">
                  <c:v>370</c:v>
                </c:pt>
                <c:pt idx="15">
                  <c:v>390</c:v>
                </c:pt>
                <c:pt idx="16">
                  <c:v>409</c:v>
                </c:pt>
                <c:pt idx="17">
                  <c:v>400</c:v>
                </c:pt>
                <c:pt idx="18">
                  <c:v>425</c:v>
                </c:pt>
                <c:pt idx="19">
                  <c:v>458</c:v>
                </c:pt>
                <c:pt idx="20">
                  <c:v>464</c:v>
                </c:pt>
                <c:pt idx="21">
                  <c:v>441</c:v>
                </c:pt>
                <c:pt idx="22">
                  <c:v>430</c:v>
                </c:pt>
                <c:pt idx="23">
                  <c:v>453</c:v>
                </c:pt>
                <c:pt idx="24">
                  <c:v>442</c:v>
                </c:pt>
                <c:pt idx="25">
                  <c:v>431</c:v>
                </c:pt>
                <c:pt idx="26">
                  <c:v>367</c:v>
                </c:pt>
                <c:pt idx="27">
                  <c:v>366</c:v>
                </c:pt>
                <c:pt idx="28">
                  <c:v>378</c:v>
                </c:pt>
                <c:pt idx="29">
                  <c:v>374</c:v>
                </c:pt>
                <c:pt idx="30">
                  <c:v>338</c:v>
                </c:pt>
                <c:pt idx="31">
                  <c:v>323</c:v>
                </c:pt>
                <c:pt idx="32">
                  <c:v>309</c:v>
                </c:pt>
                <c:pt idx="33">
                  <c:v>298</c:v>
                </c:pt>
                <c:pt idx="34">
                  <c:v>296</c:v>
                </c:pt>
                <c:pt idx="35">
                  <c:v>255</c:v>
                </c:pt>
                <c:pt idx="36">
                  <c:v>240</c:v>
                </c:pt>
                <c:pt idx="37">
                  <c:v>221</c:v>
                </c:pt>
                <c:pt idx="38">
                  <c:v>204</c:v>
                </c:pt>
                <c:pt idx="39">
                  <c:v>108</c:v>
                </c:pt>
                <c:pt idx="40">
                  <c:v>103</c:v>
                </c:pt>
                <c:pt idx="41">
                  <c:v>66</c:v>
                </c:pt>
                <c:pt idx="42">
                  <c:v>61</c:v>
                </c:pt>
                <c:pt idx="43">
                  <c:v>52</c:v>
                </c:pt>
                <c:pt idx="44">
                  <c:v>42</c:v>
                </c:pt>
                <c:pt idx="45">
                  <c:v>32</c:v>
                </c:pt>
                <c:pt idx="46">
                  <c:v>32</c:v>
                </c:pt>
                <c:pt idx="47">
                  <c:v>29</c:v>
                </c:pt>
                <c:pt idx="48">
                  <c:v>29</c:v>
                </c:pt>
                <c:pt idx="49">
                  <c:v>22</c:v>
                </c:pt>
                <c:pt idx="50">
                  <c:v>19</c:v>
                </c:pt>
                <c:pt idx="51">
                  <c:v>17</c:v>
                </c:pt>
                <c:pt idx="52">
                  <c:v>19</c:v>
                </c:pt>
                <c:pt idx="53">
                  <c:v>19</c:v>
                </c:pt>
                <c:pt idx="54">
                  <c:v>18</c:v>
                </c:pt>
                <c:pt idx="55">
                  <c:v>18</c:v>
                </c:pt>
                <c:pt idx="56">
                  <c:v>13</c:v>
                </c:pt>
                <c:pt idx="57">
                  <c:v>5</c:v>
                </c:pt>
                <c:pt idx="58">
                  <c:v>5</c:v>
                </c:pt>
                <c:pt idx="59">
                  <c:v>2</c:v>
                </c:pt>
                <c:pt idx="60">
                  <c:v>1</c:v>
                </c:pt>
                <c:pt idx="6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5C5-4EA9-B9DD-70801A41D5AA}"/>
            </c:ext>
          </c:extLst>
        </c:ser>
        <c:ser>
          <c:idx val="9"/>
          <c:order val="7"/>
          <c:tx>
            <c:strRef>
              <c:f>'Graph Data'!$B$110</c:f>
              <c:strCache>
                <c:ptCount val="1"/>
                <c:pt idx="0">
                  <c:v>NB</c:v>
                </c:pt>
              </c:strCache>
            </c:strRef>
          </c:tx>
          <c:spPr>
            <a:ln w="317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Data'!$C$110:$BL$110</c:f>
              <c:numCache>
                <c:formatCode>0</c:formatCode>
                <c:ptCount val="62"/>
                <c:pt idx="0">
                  <c:v>44</c:v>
                </c:pt>
                <c:pt idx="1">
                  <c:v>49</c:v>
                </c:pt>
                <c:pt idx="2">
                  <c:v>66</c:v>
                </c:pt>
                <c:pt idx="3">
                  <c:v>61</c:v>
                </c:pt>
                <c:pt idx="4">
                  <c:v>67</c:v>
                </c:pt>
                <c:pt idx="5">
                  <c:v>69</c:v>
                </c:pt>
                <c:pt idx="6">
                  <c:v>70</c:v>
                </c:pt>
                <c:pt idx="7">
                  <c:v>73</c:v>
                </c:pt>
                <c:pt idx="8">
                  <c:v>73</c:v>
                </c:pt>
                <c:pt idx="9">
                  <c:v>66</c:v>
                </c:pt>
                <c:pt idx="10">
                  <c:v>58</c:v>
                </c:pt>
                <c:pt idx="11">
                  <c:v>58</c:v>
                </c:pt>
                <c:pt idx="12">
                  <c:v>52</c:v>
                </c:pt>
                <c:pt idx="13">
                  <c:v>42</c:v>
                </c:pt>
                <c:pt idx="14">
                  <c:v>42</c:v>
                </c:pt>
                <c:pt idx="15">
                  <c:v>41</c:v>
                </c:pt>
                <c:pt idx="16">
                  <c:v>40</c:v>
                </c:pt>
                <c:pt idx="17">
                  <c:v>37</c:v>
                </c:pt>
                <c:pt idx="18">
                  <c:v>34</c:v>
                </c:pt>
                <c:pt idx="19">
                  <c:v>31</c:v>
                </c:pt>
                <c:pt idx="20">
                  <c:v>20</c:v>
                </c:pt>
                <c:pt idx="21">
                  <c:v>16</c:v>
                </c:pt>
                <c:pt idx="22">
                  <c:v>14</c:v>
                </c:pt>
                <c:pt idx="23">
                  <c:v>14</c:v>
                </c:pt>
                <c:pt idx="24">
                  <c:v>11</c:v>
                </c:pt>
                <c:pt idx="25">
                  <c:v>11</c:v>
                </c:pt>
                <c:pt idx="26">
                  <c:v>6</c:v>
                </c:pt>
                <c:pt idx="27">
                  <c:v>6</c:v>
                </c:pt>
                <c:pt idx="28">
                  <c:v>4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  <c:pt idx="53">
                  <c:v>6</c:v>
                </c:pt>
                <c:pt idx="54">
                  <c:v>8</c:v>
                </c:pt>
                <c:pt idx="55">
                  <c:v>9</c:v>
                </c:pt>
                <c:pt idx="56">
                  <c:v>12</c:v>
                </c:pt>
                <c:pt idx="57">
                  <c:v>13</c:v>
                </c:pt>
                <c:pt idx="58">
                  <c:v>15</c:v>
                </c:pt>
                <c:pt idx="59">
                  <c:v>15</c:v>
                </c:pt>
                <c:pt idx="60">
                  <c:v>14</c:v>
                </c:pt>
                <c:pt idx="6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5C5-4EA9-B9DD-70801A41D5AA}"/>
            </c:ext>
          </c:extLst>
        </c:ser>
        <c:ser>
          <c:idx val="10"/>
          <c:order val="8"/>
          <c:tx>
            <c:strRef>
              <c:f>'Graph Data'!$B$111</c:f>
              <c:strCache>
                <c:ptCount val="1"/>
                <c:pt idx="0">
                  <c:v>PEI</c:v>
                </c:pt>
              </c:strCache>
            </c:strRef>
          </c:tx>
          <c:spPr>
            <a:ln w="317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Data'!$C$111:$BL$111</c:f>
              <c:numCache>
                <c:formatCode>0</c:formatCode>
                <c:ptCount val="62"/>
                <c:pt idx="0">
                  <c:v>8</c:v>
                </c:pt>
                <c:pt idx="1">
                  <c:v>10</c:v>
                </c:pt>
                <c:pt idx="2">
                  <c:v>17</c:v>
                </c:pt>
                <c:pt idx="3">
                  <c:v>20</c:v>
                </c:pt>
                <c:pt idx="4">
                  <c:v>11</c:v>
                </c:pt>
                <c:pt idx="5">
                  <c:v>19</c:v>
                </c:pt>
                <c:pt idx="6">
                  <c:v>18</c:v>
                </c:pt>
                <c:pt idx="7">
                  <c:v>16</c:v>
                </c:pt>
                <c:pt idx="8">
                  <c:v>14</c:v>
                </c:pt>
                <c:pt idx="9">
                  <c:v>14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5C5-4EA9-B9DD-70801A41D5AA}"/>
            </c:ext>
          </c:extLst>
        </c:ser>
        <c:ser>
          <c:idx val="11"/>
          <c:order val="9"/>
          <c:tx>
            <c:strRef>
              <c:f>'Graph Data'!$B$112</c:f>
              <c:strCache>
                <c:ptCount val="1"/>
                <c:pt idx="0">
                  <c:v>NFLD</c:v>
                </c:pt>
              </c:strCache>
            </c:strRef>
          </c:tx>
          <c:spPr>
            <a:ln w="317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Data'!$C$112:$BL$112</c:f>
              <c:numCache>
                <c:formatCode>0</c:formatCode>
                <c:ptCount val="62"/>
                <c:pt idx="0">
                  <c:v>102</c:v>
                </c:pt>
                <c:pt idx="1">
                  <c:v>116</c:v>
                </c:pt>
                <c:pt idx="2">
                  <c:v>143</c:v>
                </c:pt>
                <c:pt idx="3">
                  <c:v>144</c:v>
                </c:pt>
                <c:pt idx="4">
                  <c:v>167</c:v>
                </c:pt>
                <c:pt idx="5">
                  <c:v>172</c:v>
                </c:pt>
                <c:pt idx="6">
                  <c:v>186</c:v>
                </c:pt>
                <c:pt idx="7">
                  <c:v>184</c:v>
                </c:pt>
                <c:pt idx="8">
                  <c:v>192</c:v>
                </c:pt>
                <c:pt idx="9">
                  <c:v>177</c:v>
                </c:pt>
                <c:pt idx="10">
                  <c:v>156</c:v>
                </c:pt>
                <c:pt idx="11">
                  <c:v>138</c:v>
                </c:pt>
                <c:pt idx="12">
                  <c:v>134</c:v>
                </c:pt>
                <c:pt idx="13">
                  <c:v>119</c:v>
                </c:pt>
                <c:pt idx="14">
                  <c:v>119</c:v>
                </c:pt>
                <c:pt idx="15">
                  <c:v>92</c:v>
                </c:pt>
                <c:pt idx="16">
                  <c:v>85</c:v>
                </c:pt>
                <c:pt idx="17">
                  <c:v>79</c:v>
                </c:pt>
                <c:pt idx="18">
                  <c:v>77</c:v>
                </c:pt>
                <c:pt idx="19">
                  <c:v>64</c:v>
                </c:pt>
                <c:pt idx="20">
                  <c:v>62</c:v>
                </c:pt>
                <c:pt idx="21">
                  <c:v>59</c:v>
                </c:pt>
                <c:pt idx="22">
                  <c:v>54</c:v>
                </c:pt>
                <c:pt idx="23">
                  <c:v>48</c:v>
                </c:pt>
                <c:pt idx="24">
                  <c:v>46</c:v>
                </c:pt>
                <c:pt idx="25">
                  <c:v>46</c:v>
                </c:pt>
                <c:pt idx="26">
                  <c:v>33</c:v>
                </c:pt>
                <c:pt idx="27">
                  <c:v>33</c:v>
                </c:pt>
                <c:pt idx="28">
                  <c:v>33</c:v>
                </c:pt>
                <c:pt idx="29">
                  <c:v>0</c:v>
                </c:pt>
                <c:pt idx="30">
                  <c:v>26</c:v>
                </c:pt>
                <c:pt idx="31">
                  <c:v>25</c:v>
                </c:pt>
                <c:pt idx="32">
                  <c:v>23</c:v>
                </c:pt>
                <c:pt idx="33">
                  <c:v>15</c:v>
                </c:pt>
                <c:pt idx="34">
                  <c:v>12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11</c:v>
                </c:pt>
                <c:pt idx="41">
                  <c:v>10</c:v>
                </c:pt>
                <c:pt idx="42">
                  <c:v>9</c:v>
                </c:pt>
                <c:pt idx="43">
                  <c:v>8</c:v>
                </c:pt>
                <c:pt idx="44">
                  <c:v>8</c:v>
                </c:pt>
                <c:pt idx="45">
                  <c:v>7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  <c:pt idx="52">
                  <c:v>2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5C5-4EA9-B9DD-70801A41D5A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7080640"/>
        <c:axId val="157079000"/>
      </c:lineChart>
      <c:catAx>
        <c:axId val="15708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79000"/>
        <c:crosses val="autoZero"/>
        <c:auto val="1"/>
        <c:lblAlgn val="ctr"/>
        <c:lblOffset val="100"/>
        <c:noMultiLvlLbl val="0"/>
      </c:catAx>
      <c:valAx>
        <c:axId val="157079000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0640"/>
        <c:crosses val="autoZero"/>
        <c:crossBetween val="between"/>
      </c:valAx>
      <c:spPr>
        <a:noFill/>
        <a:ln>
          <a:noFill/>
        </a:ln>
        <a:effectLst>
          <a:softEdge rad="431800"/>
        </a:effectLst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Cumulative Deaths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'Graph Data'!$B$115</c:f>
              <c:strCache>
                <c:ptCount val="1"/>
                <c:pt idx="0">
                  <c:v>Ontario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Data'!$C$114:$BL$114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Data'!$C$115:$BL$115</c:f>
              <c:numCache>
                <c:formatCode>0</c:formatCode>
                <c:ptCount val="62"/>
                <c:pt idx="0">
                  <c:v>18</c:v>
                </c:pt>
                <c:pt idx="1">
                  <c:v>21</c:v>
                </c:pt>
                <c:pt idx="2">
                  <c:v>33</c:v>
                </c:pt>
                <c:pt idx="3">
                  <c:v>33</c:v>
                </c:pt>
                <c:pt idx="4">
                  <c:v>37</c:v>
                </c:pt>
                <c:pt idx="5">
                  <c:v>53</c:v>
                </c:pt>
                <c:pt idx="6">
                  <c:v>67</c:v>
                </c:pt>
                <c:pt idx="7">
                  <c:v>94</c:v>
                </c:pt>
                <c:pt idx="8">
                  <c:v>132</c:v>
                </c:pt>
                <c:pt idx="9">
                  <c:v>153</c:v>
                </c:pt>
                <c:pt idx="10">
                  <c:v>174</c:v>
                </c:pt>
                <c:pt idx="11">
                  <c:v>200</c:v>
                </c:pt>
                <c:pt idx="12">
                  <c:v>222</c:v>
                </c:pt>
                <c:pt idx="13">
                  <c:v>253</c:v>
                </c:pt>
                <c:pt idx="14">
                  <c:v>291</c:v>
                </c:pt>
                <c:pt idx="15">
                  <c:v>334</c:v>
                </c:pt>
                <c:pt idx="16">
                  <c:v>385</c:v>
                </c:pt>
                <c:pt idx="17">
                  <c:v>423</c:v>
                </c:pt>
                <c:pt idx="18">
                  <c:v>478</c:v>
                </c:pt>
                <c:pt idx="19">
                  <c:v>514</c:v>
                </c:pt>
                <c:pt idx="20">
                  <c:v>584</c:v>
                </c:pt>
                <c:pt idx="21">
                  <c:v>622</c:v>
                </c:pt>
                <c:pt idx="22">
                  <c:v>659</c:v>
                </c:pt>
                <c:pt idx="23">
                  <c:v>713</c:v>
                </c:pt>
                <c:pt idx="24">
                  <c:v>763</c:v>
                </c:pt>
                <c:pt idx="25">
                  <c:v>811</c:v>
                </c:pt>
                <c:pt idx="26">
                  <c:v>892</c:v>
                </c:pt>
                <c:pt idx="27">
                  <c:v>951</c:v>
                </c:pt>
                <c:pt idx="28">
                  <c:v>996</c:v>
                </c:pt>
                <c:pt idx="29">
                  <c:v>1082</c:v>
                </c:pt>
                <c:pt idx="30">
                  <c:v>1121</c:v>
                </c:pt>
                <c:pt idx="31">
                  <c:v>1176</c:v>
                </c:pt>
                <c:pt idx="32">
                  <c:v>1300</c:v>
                </c:pt>
                <c:pt idx="33">
                  <c:v>1361</c:v>
                </c:pt>
                <c:pt idx="34">
                  <c:v>1429</c:v>
                </c:pt>
                <c:pt idx="35">
                  <c:v>1477</c:v>
                </c:pt>
                <c:pt idx="36">
                  <c:v>1540</c:v>
                </c:pt>
                <c:pt idx="37">
                  <c:v>1599</c:v>
                </c:pt>
                <c:pt idx="38">
                  <c:v>1669</c:v>
                </c:pt>
                <c:pt idx="39">
                  <c:v>1725</c:v>
                </c:pt>
                <c:pt idx="40">
                  <c:v>1765</c:v>
                </c:pt>
                <c:pt idx="41">
                  <c:v>1798</c:v>
                </c:pt>
                <c:pt idx="42">
                  <c:v>1825</c:v>
                </c:pt>
                <c:pt idx="43">
                  <c:v>1858</c:v>
                </c:pt>
                <c:pt idx="44">
                  <c:v>1904</c:v>
                </c:pt>
                <c:pt idx="45">
                  <c:v>1919</c:v>
                </c:pt>
                <c:pt idx="46">
                  <c:v>1962</c:v>
                </c:pt>
                <c:pt idx="47">
                  <c:v>1993</c:v>
                </c:pt>
                <c:pt idx="48">
                  <c:v>2021</c:v>
                </c:pt>
                <c:pt idx="49">
                  <c:v>2048</c:v>
                </c:pt>
                <c:pt idx="50">
                  <c:v>2102</c:v>
                </c:pt>
                <c:pt idx="51">
                  <c:v>2123</c:v>
                </c:pt>
                <c:pt idx="52">
                  <c:v>2155</c:v>
                </c:pt>
                <c:pt idx="53">
                  <c:v>2189</c:v>
                </c:pt>
                <c:pt idx="54">
                  <c:v>2230</c:v>
                </c:pt>
                <c:pt idx="55">
                  <c:v>2247</c:v>
                </c:pt>
                <c:pt idx="56">
                  <c:v>2276</c:v>
                </c:pt>
                <c:pt idx="57">
                  <c:v>2293</c:v>
                </c:pt>
                <c:pt idx="58">
                  <c:v>2312</c:v>
                </c:pt>
                <c:pt idx="59">
                  <c:v>2357</c:v>
                </c:pt>
                <c:pt idx="60">
                  <c:v>2372</c:v>
                </c:pt>
                <c:pt idx="61">
                  <c:v>2407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A8F-435D-A5B3-027EE2165C15}"/>
            </c:ext>
          </c:extLst>
        </c:ser>
        <c:ser>
          <c:idx val="1"/>
          <c:order val="1"/>
          <c:tx>
            <c:strRef>
              <c:f>'Graph Data'!$B$116</c:f>
              <c:strCache>
                <c:ptCount val="1"/>
                <c:pt idx="0">
                  <c:v>Quebec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Data'!$C$114:$BL$114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Data'!$C$116:$BL$116</c:f>
              <c:numCache>
                <c:formatCode>0</c:formatCode>
                <c:ptCount val="62"/>
                <c:pt idx="0">
                  <c:v>18</c:v>
                </c:pt>
                <c:pt idx="1">
                  <c:v>22</c:v>
                </c:pt>
                <c:pt idx="2">
                  <c:v>25</c:v>
                </c:pt>
                <c:pt idx="3">
                  <c:v>31</c:v>
                </c:pt>
                <c:pt idx="4">
                  <c:v>33</c:v>
                </c:pt>
                <c:pt idx="5">
                  <c:v>36</c:v>
                </c:pt>
                <c:pt idx="6">
                  <c:v>61</c:v>
                </c:pt>
                <c:pt idx="7">
                  <c:v>75</c:v>
                </c:pt>
                <c:pt idx="8">
                  <c:v>121</c:v>
                </c:pt>
                <c:pt idx="9">
                  <c:v>150</c:v>
                </c:pt>
                <c:pt idx="10">
                  <c:v>175</c:v>
                </c:pt>
                <c:pt idx="11">
                  <c:v>216</c:v>
                </c:pt>
                <c:pt idx="12">
                  <c:v>241</c:v>
                </c:pt>
                <c:pt idx="13">
                  <c:v>289</c:v>
                </c:pt>
                <c:pt idx="14">
                  <c:v>360</c:v>
                </c:pt>
                <c:pt idx="15">
                  <c:v>435</c:v>
                </c:pt>
                <c:pt idx="16">
                  <c:v>487</c:v>
                </c:pt>
                <c:pt idx="17">
                  <c:v>630</c:v>
                </c:pt>
                <c:pt idx="18">
                  <c:v>688</c:v>
                </c:pt>
                <c:pt idx="19">
                  <c:v>805</c:v>
                </c:pt>
                <c:pt idx="20">
                  <c:v>939</c:v>
                </c:pt>
                <c:pt idx="21">
                  <c:v>1041</c:v>
                </c:pt>
                <c:pt idx="22">
                  <c:v>1134</c:v>
                </c:pt>
                <c:pt idx="23">
                  <c:v>1243</c:v>
                </c:pt>
                <c:pt idx="24">
                  <c:v>1340</c:v>
                </c:pt>
                <c:pt idx="25">
                  <c:v>1446</c:v>
                </c:pt>
                <c:pt idx="26">
                  <c:v>1599</c:v>
                </c:pt>
                <c:pt idx="27">
                  <c:v>1682</c:v>
                </c:pt>
                <c:pt idx="28">
                  <c:v>1761</c:v>
                </c:pt>
                <c:pt idx="29">
                  <c:v>1859</c:v>
                </c:pt>
                <c:pt idx="30">
                  <c:v>2022</c:v>
                </c:pt>
                <c:pt idx="31">
                  <c:v>2136</c:v>
                </c:pt>
                <c:pt idx="32">
                  <c:v>2280</c:v>
                </c:pt>
                <c:pt idx="33">
                  <c:v>2398</c:v>
                </c:pt>
                <c:pt idx="34">
                  <c:v>2510</c:v>
                </c:pt>
                <c:pt idx="35">
                  <c:v>2631</c:v>
                </c:pt>
                <c:pt idx="36">
                  <c:v>2725</c:v>
                </c:pt>
                <c:pt idx="37">
                  <c:v>2786</c:v>
                </c:pt>
                <c:pt idx="38">
                  <c:v>3013</c:v>
                </c:pt>
                <c:pt idx="39">
                  <c:v>3131</c:v>
                </c:pt>
                <c:pt idx="40">
                  <c:v>3220</c:v>
                </c:pt>
                <c:pt idx="41">
                  <c:v>3351</c:v>
                </c:pt>
                <c:pt idx="42">
                  <c:v>3401</c:v>
                </c:pt>
                <c:pt idx="43">
                  <c:v>3483</c:v>
                </c:pt>
                <c:pt idx="44">
                  <c:v>3596</c:v>
                </c:pt>
                <c:pt idx="45">
                  <c:v>3647</c:v>
                </c:pt>
                <c:pt idx="46">
                  <c:v>3718</c:v>
                </c:pt>
                <c:pt idx="47">
                  <c:v>3800</c:v>
                </c:pt>
                <c:pt idx="48">
                  <c:v>3865</c:v>
                </c:pt>
                <c:pt idx="49">
                  <c:v>3940</c:v>
                </c:pt>
                <c:pt idx="50">
                  <c:v>4069</c:v>
                </c:pt>
                <c:pt idx="51">
                  <c:v>4139</c:v>
                </c:pt>
                <c:pt idx="52">
                  <c:v>4228</c:v>
                </c:pt>
                <c:pt idx="53">
                  <c:v>4302</c:v>
                </c:pt>
                <c:pt idx="54">
                  <c:v>4363</c:v>
                </c:pt>
                <c:pt idx="55">
                  <c:v>4439</c:v>
                </c:pt>
                <c:pt idx="56">
                  <c:v>4661</c:v>
                </c:pt>
                <c:pt idx="57">
                  <c:v>4713</c:v>
                </c:pt>
                <c:pt idx="58">
                  <c:v>4794</c:v>
                </c:pt>
                <c:pt idx="59">
                  <c:v>4885</c:v>
                </c:pt>
                <c:pt idx="60">
                  <c:v>4935</c:v>
                </c:pt>
                <c:pt idx="61">
                  <c:v>4970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A8F-435D-A5B3-027EE2165C15}"/>
            </c:ext>
          </c:extLst>
        </c:ser>
        <c:ser>
          <c:idx val="2"/>
          <c:order val="2"/>
          <c:tx>
            <c:strRef>
              <c:f>'Graph Data'!$B$117</c:f>
              <c:strCache>
                <c:ptCount val="1"/>
                <c:pt idx="0">
                  <c:v>BC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Data'!$C$114:$BL$114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Data'!$C$117:$BL$117</c:f>
              <c:numCache>
                <c:formatCode>0</c:formatCode>
                <c:ptCount val="62"/>
                <c:pt idx="0">
                  <c:v>16</c:v>
                </c:pt>
                <c:pt idx="1">
                  <c:v>17</c:v>
                </c:pt>
                <c:pt idx="2">
                  <c:v>19</c:v>
                </c:pt>
                <c:pt idx="3">
                  <c:v>24</c:v>
                </c:pt>
                <c:pt idx="4">
                  <c:v>25</c:v>
                </c:pt>
                <c:pt idx="5">
                  <c:v>31</c:v>
                </c:pt>
                <c:pt idx="6">
                  <c:v>35</c:v>
                </c:pt>
                <c:pt idx="7">
                  <c:v>38</c:v>
                </c:pt>
                <c:pt idx="8">
                  <c:v>39</c:v>
                </c:pt>
                <c:pt idx="9">
                  <c:v>43</c:v>
                </c:pt>
                <c:pt idx="10">
                  <c:v>48</c:v>
                </c:pt>
                <c:pt idx="11">
                  <c:v>50</c:v>
                </c:pt>
                <c:pt idx="12">
                  <c:v>55</c:v>
                </c:pt>
                <c:pt idx="13">
                  <c:v>58</c:v>
                </c:pt>
                <c:pt idx="14">
                  <c:v>69</c:v>
                </c:pt>
                <c:pt idx="15">
                  <c:v>72</c:v>
                </c:pt>
                <c:pt idx="16">
                  <c:v>75</c:v>
                </c:pt>
                <c:pt idx="17">
                  <c:v>78</c:v>
                </c:pt>
                <c:pt idx="18">
                  <c:v>78</c:v>
                </c:pt>
                <c:pt idx="19">
                  <c:v>81</c:v>
                </c:pt>
                <c:pt idx="20">
                  <c:v>86</c:v>
                </c:pt>
                <c:pt idx="21">
                  <c:v>87</c:v>
                </c:pt>
                <c:pt idx="22">
                  <c:v>90</c:v>
                </c:pt>
                <c:pt idx="23">
                  <c:v>94</c:v>
                </c:pt>
                <c:pt idx="24">
                  <c:v>98</c:v>
                </c:pt>
                <c:pt idx="25">
                  <c:v>100</c:v>
                </c:pt>
                <c:pt idx="26">
                  <c:v>103</c:v>
                </c:pt>
                <c:pt idx="27">
                  <c:v>105</c:v>
                </c:pt>
                <c:pt idx="28">
                  <c:v>109</c:v>
                </c:pt>
                <c:pt idx="29">
                  <c:v>111</c:v>
                </c:pt>
                <c:pt idx="30">
                  <c:v>111</c:v>
                </c:pt>
                <c:pt idx="31">
                  <c:v>112</c:v>
                </c:pt>
                <c:pt idx="32">
                  <c:v>117</c:v>
                </c:pt>
                <c:pt idx="33">
                  <c:v>121</c:v>
                </c:pt>
                <c:pt idx="34">
                  <c:v>124</c:v>
                </c:pt>
                <c:pt idx="35">
                  <c:v>126</c:v>
                </c:pt>
                <c:pt idx="36">
                  <c:v>127</c:v>
                </c:pt>
                <c:pt idx="37">
                  <c:v>129</c:v>
                </c:pt>
                <c:pt idx="38">
                  <c:v>130</c:v>
                </c:pt>
                <c:pt idx="39">
                  <c:v>131</c:v>
                </c:pt>
                <c:pt idx="40">
                  <c:v>132</c:v>
                </c:pt>
                <c:pt idx="41">
                  <c:v>135</c:v>
                </c:pt>
                <c:pt idx="42">
                  <c:v>140</c:v>
                </c:pt>
                <c:pt idx="43">
                  <c:v>141</c:v>
                </c:pt>
                <c:pt idx="44">
                  <c:v>143</c:v>
                </c:pt>
                <c:pt idx="45">
                  <c:v>146</c:v>
                </c:pt>
                <c:pt idx="46">
                  <c:v>149</c:v>
                </c:pt>
                <c:pt idx="47">
                  <c:v>152</c:v>
                </c:pt>
                <c:pt idx="48">
                  <c:v>155</c:v>
                </c:pt>
                <c:pt idx="49">
                  <c:v>157</c:v>
                </c:pt>
                <c:pt idx="50">
                  <c:v>161</c:v>
                </c:pt>
                <c:pt idx="51">
                  <c:v>161</c:v>
                </c:pt>
                <c:pt idx="52">
                  <c:v>162</c:v>
                </c:pt>
                <c:pt idx="53">
                  <c:v>164</c:v>
                </c:pt>
                <c:pt idx="54">
                  <c:v>164</c:v>
                </c:pt>
                <c:pt idx="55">
                  <c:v>164</c:v>
                </c:pt>
                <c:pt idx="56">
                  <c:v>165</c:v>
                </c:pt>
                <c:pt idx="57">
                  <c:v>165</c:v>
                </c:pt>
                <c:pt idx="58">
                  <c:v>166</c:v>
                </c:pt>
                <c:pt idx="59">
                  <c:v>166</c:v>
                </c:pt>
                <c:pt idx="60">
                  <c:v>167</c:v>
                </c:pt>
                <c:pt idx="61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A8F-435D-A5B3-027EE2165C15}"/>
            </c:ext>
          </c:extLst>
        </c:ser>
        <c:ser>
          <c:idx val="3"/>
          <c:order val="3"/>
          <c:tx>
            <c:strRef>
              <c:f>'Graph Data'!$B$118</c:f>
              <c:strCache>
                <c:ptCount val="1"/>
                <c:pt idx="0">
                  <c:v>Alberta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Data'!$C$114:$BL$114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Data'!$C$118:$BL$118</c:f>
              <c:numCache>
                <c:formatCode>0</c:formatCode>
                <c:ptCount val="62"/>
                <c:pt idx="0">
                  <c:v>2</c:v>
                </c:pt>
                <c:pt idx="1">
                  <c:v>2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13</c:v>
                </c:pt>
                <c:pt idx="7">
                  <c:v>20</c:v>
                </c:pt>
                <c:pt idx="8">
                  <c:v>23</c:v>
                </c:pt>
                <c:pt idx="9">
                  <c:v>26</c:v>
                </c:pt>
                <c:pt idx="10">
                  <c:v>29</c:v>
                </c:pt>
                <c:pt idx="11">
                  <c:v>32</c:v>
                </c:pt>
                <c:pt idx="12">
                  <c:v>39</c:v>
                </c:pt>
                <c:pt idx="13">
                  <c:v>39</c:v>
                </c:pt>
                <c:pt idx="14">
                  <c:v>46</c:v>
                </c:pt>
                <c:pt idx="15">
                  <c:v>48</c:v>
                </c:pt>
                <c:pt idx="16">
                  <c:v>48</c:v>
                </c:pt>
                <c:pt idx="17">
                  <c:v>50</c:v>
                </c:pt>
                <c:pt idx="18">
                  <c:v>50</c:v>
                </c:pt>
                <c:pt idx="19">
                  <c:v>51</c:v>
                </c:pt>
                <c:pt idx="20">
                  <c:v>59</c:v>
                </c:pt>
                <c:pt idx="21">
                  <c:v>61</c:v>
                </c:pt>
                <c:pt idx="22">
                  <c:v>66</c:v>
                </c:pt>
                <c:pt idx="23">
                  <c:v>67</c:v>
                </c:pt>
                <c:pt idx="24">
                  <c:v>72</c:v>
                </c:pt>
                <c:pt idx="25">
                  <c:v>73</c:v>
                </c:pt>
                <c:pt idx="26">
                  <c:v>75</c:v>
                </c:pt>
                <c:pt idx="27">
                  <c:v>80</c:v>
                </c:pt>
                <c:pt idx="28">
                  <c:v>87</c:v>
                </c:pt>
                <c:pt idx="29">
                  <c:v>89</c:v>
                </c:pt>
                <c:pt idx="30">
                  <c:v>92</c:v>
                </c:pt>
                <c:pt idx="31">
                  <c:v>94</c:v>
                </c:pt>
                <c:pt idx="32">
                  <c:v>104</c:v>
                </c:pt>
                <c:pt idx="33">
                  <c:v>106</c:v>
                </c:pt>
                <c:pt idx="34">
                  <c:v>112</c:v>
                </c:pt>
                <c:pt idx="35">
                  <c:v>114</c:v>
                </c:pt>
                <c:pt idx="36">
                  <c:v>115</c:v>
                </c:pt>
                <c:pt idx="37">
                  <c:v>116</c:v>
                </c:pt>
                <c:pt idx="38">
                  <c:v>117</c:v>
                </c:pt>
                <c:pt idx="39">
                  <c:v>118</c:v>
                </c:pt>
                <c:pt idx="40">
                  <c:v>120</c:v>
                </c:pt>
                <c:pt idx="41">
                  <c:v>121</c:v>
                </c:pt>
                <c:pt idx="42">
                  <c:v>125</c:v>
                </c:pt>
                <c:pt idx="43">
                  <c:v>126</c:v>
                </c:pt>
                <c:pt idx="44">
                  <c:v>128</c:v>
                </c:pt>
                <c:pt idx="45">
                  <c:v>128</c:v>
                </c:pt>
                <c:pt idx="46">
                  <c:v>128</c:v>
                </c:pt>
                <c:pt idx="47">
                  <c:v>132</c:v>
                </c:pt>
                <c:pt idx="48">
                  <c:v>134</c:v>
                </c:pt>
                <c:pt idx="49">
                  <c:v>135</c:v>
                </c:pt>
                <c:pt idx="50">
                  <c:v>138</c:v>
                </c:pt>
                <c:pt idx="51">
                  <c:v>139</c:v>
                </c:pt>
                <c:pt idx="52">
                  <c:v>141</c:v>
                </c:pt>
                <c:pt idx="53">
                  <c:v>143</c:v>
                </c:pt>
                <c:pt idx="54">
                  <c:v>143</c:v>
                </c:pt>
                <c:pt idx="55">
                  <c:v>143</c:v>
                </c:pt>
                <c:pt idx="56">
                  <c:v>143</c:v>
                </c:pt>
                <c:pt idx="57">
                  <c:v>143</c:v>
                </c:pt>
                <c:pt idx="58">
                  <c:v>145</c:v>
                </c:pt>
                <c:pt idx="59">
                  <c:v>146</c:v>
                </c:pt>
                <c:pt idx="60">
                  <c:v>146</c:v>
                </c:pt>
                <c:pt idx="61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A8F-435D-A5B3-027EE2165C15}"/>
            </c:ext>
          </c:extLst>
        </c:ser>
        <c:ser>
          <c:idx val="4"/>
          <c:order val="4"/>
          <c:tx>
            <c:strRef>
              <c:f>'Graph Data'!$B$119</c:f>
              <c:strCache>
                <c:ptCount val="1"/>
                <c:pt idx="0">
                  <c:v>Manitoba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Data'!$C$114:$BL$114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Data'!$C$119:$BL$119</c:f>
              <c:numCache>
                <c:formatCode>0</c:formatCode>
                <c:ptCount val="6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A8F-435D-A5B3-027EE2165C15}"/>
            </c:ext>
          </c:extLst>
        </c:ser>
        <c:ser>
          <c:idx val="5"/>
          <c:order val="5"/>
          <c:tx>
            <c:strRef>
              <c:f>'Graph Data'!$B$120</c:f>
              <c:strCache>
                <c:ptCount val="1"/>
                <c:pt idx="0">
                  <c:v>Sask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Data'!$C$114:$BL$114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Data'!$C$120:$BL$120</c:f>
              <c:numCache>
                <c:formatCode>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8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11</c:v>
                </c:pt>
                <c:pt idx="6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A8F-435D-A5B3-027EE2165C15}"/>
            </c:ext>
          </c:extLst>
        </c:ser>
        <c:ser>
          <c:idx val="6"/>
          <c:order val="6"/>
          <c:tx>
            <c:strRef>
              <c:f>'Graph Data'!$B$121</c:f>
              <c:strCache>
                <c:ptCount val="1"/>
                <c:pt idx="0">
                  <c:v>NS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Data'!$C$114:$BL$114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Data'!$C$121:$BL$121</c:f>
              <c:numCache>
                <c:formatCode>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12</c:v>
                </c:pt>
                <c:pt idx="23">
                  <c:v>16</c:v>
                </c:pt>
                <c:pt idx="24">
                  <c:v>16</c:v>
                </c:pt>
                <c:pt idx="25">
                  <c:v>22</c:v>
                </c:pt>
                <c:pt idx="26">
                  <c:v>24</c:v>
                </c:pt>
                <c:pt idx="27">
                  <c:v>27</c:v>
                </c:pt>
                <c:pt idx="28">
                  <c:v>28</c:v>
                </c:pt>
                <c:pt idx="29">
                  <c:v>28</c:v>
                </c:pt>
                <c:pt idx="30">
                  <c:v>29</c:v>
                </c:pt>
                <c:pt idx="31">
                  <c:v>31</c:v>
                </c:pt>
                <c:pt idx="32">
                  <c:v>38</c:v>
                </c:pt>
                <c:pt idx="33">
                  <c:v>41</c:v>
                </c:pt>
                <c:pt idx="34">
                  <c:v>41</c:v>
                </c:pt>
                <c:pt idx="35">
                  <c:v>44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48</c:v>
                </c:pt>
                <c:pt idx="40">
                  <c:v>51</c:v>
                </c:pt>
                <c:pt idx="41">
                  <c:v>51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58</c:v>
                </c:pt>
                <c:pt idx="49">
                  <c:v>58</c:v>
                </c:pt>
                <c:pt idx="50">
                  <c:v>58</c:v>
                </c:pt>
                <c:pt idx="51">
                  <c:v>59</c:v>
                </c:pt>
                <c:pt idx="52">
                  <c:v>59</c:v>
                </c:pt>
                <c:pt idx="53">
                  <c:v>59</c:v>
                </c:pt>
                <c:pt idx="54">
                  <c:v>59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61</c:v>
                </c:pt>
                <c:pt idx="60">
                  <c:v>61</c:v>
                </c:pt>
                <c:pt idx="6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A8F-435D-A5B3-027EE2165C15}"/>
            </c:ext>
          </c:extLst>
        </c:ser>
        <c:ser>
          <c:idx val="7"/>
          <c:order val="7"/>
          <c:tx>
            <c:strRef>
              <c:f>'Graph Data'!$B$122</c:f>
              <c:strCache>
                <c:ptCount val="1"/>
                <c:pt idx="0">
                  <c:v>NB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Data'!$C$114:$BL$114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Data'!$C$122:$BL$122</c:f>
              <c:numCache>
                <c:formatCode>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A8F-435D-A5B3-027EE2165C15}"/>
            </c:ext>
          </c:extLst>
        </c:ser>
        <c:ser>
          <c:idx val="8"/>
          <c:order val="8"/>
          <c:tx>
            <c:strRef>
              <c:f>'Graph Data'!$B$123</c:f>
              <c:strCache>
                <c:ptCount val="1"/>
                <c:pt idx="0">
                  <c:v>PEI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Data'!$C$114:$BL$114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Data'!$C$123:$BL$123</c:f>
              <c:numCache>
                <c:formatCode>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A8F-435D-A5B3-027EE2165C15}"/>
            </c:ext>
          </c:extLst>
        </c:ser>
        <c:ser>
          <c:idx val="9"/>
          <c:order val="9"/>
          <c:tx>
            <c:strRef>
              <c:f>'Graph Data'!$B$124</c:f>
              <c:strCache>
                <c:ptCount val="1"/>
                <c:pt idx="0">
                  <c:v>NFLD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Data'!$C$114:$BL$114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Data'!$C$124:$BL$124</c:f>
              <c:numCache>
                <c:formatCode>0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A8F-435D-A5B3-027EE2165C1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100"/>
        <c:axId val="157080640"/>
        <c:axId val="157079000"/>
      </c:barChart>
      <c:catAx>
        <c:axId val="15708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7900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5707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0640"/>
        <c:crosses val="autoZero"/>
        <c:crossBetween val="between"/>
      </c:valAx>
      <c:spPr>
        <a:noFill/>
        <a:ln>
          <a:noFill/>
        </a:ln>
        <a:effectLst>
          <a:softEdge rad="431800"/>
        </a:effectLst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Active Cases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'Graph Data'!$B$103</c:f>
              <c:strCache>
                <c:ptCount val="1"/>
                <c:pt idx="0">
                  <c:v>Ontario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Data'!$C$103:$BL$103</c:f>
              <c:numCache>
                <c:formatCode>0</c:formatCode>
                <c:ptCount val="62"/>
                <c:pt idx="0">
                  <c:v>967</c:v>
                </c:pt>
                <c:pt idx="1">
                  <c:v>1326</c:v>
                </c:pt>
                <c:pt idx="2">
                  <c:v>1242</c:v>
                </c:pt>
                <c:pt idx="3">
                  <c:v>1399</c:v>
                </c:pt>
                <c:pt idx="4">
                  <c:v>1666</c:v>
                </c:pt>
                <c:pt idx="5">
                  <c:v>1909</c:v>
                </c:pt>
                <c:pt idx="6">
                  <c:v>2165</c:v>
                </c:pt>
                <c:pt idx="7">
                  <c:v>2317</c:v>
                </c:pt>
                <c:pt idx="8">
                  <c:v>2591</c:v>
                </c:pt>
                <c:pt idx="9">
                  <c:v>2771</c:v>
                </c:pt>
                <c:pt idx="10">
                  <c:v>3028</c:v>
                </c:pt>
                <c:pt idx="11">
                  <c:v>3254</c:v>
                </c:pt>
                <c:pt idx="12">
                  <c:v>3441</c:v>
                </c:pt>
                <c:pt idx="13">
                  <c:v>3537</c:v>
                </c:pt>
                <c:pt idx="14">
                  <c:v>3822</c:v>
                </c:pt>
                <c:pt idx="15">
                  <c:v>4051</c:v>
                </c:pt>
                <c:pt idx="16">
                  <c:v>4190</c:v>
                </c:pt>
                <c:pt idx="17">
                  <c:v>4344</c:v>
                </c:pt>
                <c:pt idx="18">
                  <c:v>4491</c:v>
                </c:pt>
                <c:pt idx="19">
                  <c:v>4578</c:v>
                </c:pt>
                <c:pt idx="20">
                  <c:v>5085</c:v>
                </c:pt>
                <c:pt idx="21">
                  <c:v>5307</c:v>
                </c:pt>
                <c:pt idx="22">
                  <c:v>5365</c:v>
                </c:pt>
                <c:pt idx="23">
                  <c:v>5486</c:v>
                </c:pt>
                <c:pt idx="24">
                  <c:v>5669</c:v>
                </c:pt>
                <c:pt idx="25">
                  <c:v>5675</c:v>
                </c:pt>
                <c:pt idx="26">
                  <c:v>5439</c:v>
                </c:pt>
                <c:pt idx="27">
                  <c:v>5466</c:v>
                </c:pt>
                <c:pt idx="28">
                  <c:v>5120</c:v>
                </c:pt>
                <c:pt idx="29">
                  <c:v>4900</c:v>
                </c:pt>
                <c:pt idx="30">
                  <c:v>4662</c:v>
                </c:pt>
                <c:pt idx="31">
                  <c:v>4553</c:v>
                </c:pt>
                <c:pt idx="32">
                  <c:v>4118</c:v>
                </c:pt>
                <c:pt idx="33">
                  <c:v>4170</c:v>
                </c:pt>
                <c:pt idx="34">
                  <c:v>4071</c:v>
                </c:pt>
                <c:pt idx="35">
                  <c:v>4075</c:v>
                </c:pt>
                <c:pt idx="36">
                  <c:v>4068</c:v>
                </c:pt>
                <c:pt idx="37">
                  <c:v>3962</c:v>
                </c:pt>
                <c:pt idx="38">
                  <c:v>3746</c:v>
                </c:pt>
                <c:pt idx="39">
                  <c:v>3791</c:v>
                </c:pt>
                <c:pt idx="40">
                  <c:v>3626</c:v>
                </c:pt>
                <c:pt idx="41">
                  <c:v>3492</c:v>
                </c:pt>
                <c:pt idx="42">
                  <c:v>3456</c:v>
                </c:pt>
                <c:pt idx="43">
                  <c:v>3435</c:v>
                </c:pt>
                <c:pt idx="44">
                  <c:v>3415</c:v>
                </c:pt>
                <c:pt idx="45">
                  <c:v>3567</c:v>
                </c:pt>
                <c:pt idx="46">
                  <c:v>3622</c:v>
                </c:pt>
                <c:pt idx="47">
                  <c:v>3685</c:v>
                </c:pt>
                <c:pt idx="48">
                  <c:v>3840</c:v>
                </c:pt>
                <c:pt idx="49">
                  <c:v>3846</c:v>
                </c:pt>
                <c:pt idx="50">
                  <c:v>4104</c:v>
                </c:pt>
                <c:pt idx="51">
                  <c:v>4110</c:v>
                </c:pt>
                <c:pt idx="52">
                  <c:v>3956</c:v>
                </c:pt>
                <c:pt idx="53">
                  <c:v>4004</c:v>
                </c:pt>
                <c:pt idx="54">
                  <c:v>3997</c:v>
                </c:pt>
                <c:pt idx="55">
                  <c:v>3933</c:v>
                </c:pt>
                <c:pt idx="56">
                  <c:v>3834</c:v>
                </c:pt>
                <c:pt idx="57">
                  <c:v>3932</c:v>
                </c:pt>
                <c:pt idx="58">
                  <c:v>3924</c:v>
                </c:pt>
                <c:pt idx="59">
                  <c:v>3838</c:v>
                </c:pt>
                <c:pt idx="60">
                  <c:v>3792</c:v>
                </c:pt>
                <c:pt idx="61">
                  <c:v>3848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3-4EC8-BFFE-30C41D6BB479}"/>
            </c:ext>
          </c:extLst>
        </c:ser>
        <c:ser>
          <c:idx val="1"/>
          <c:order val="1"/>
          <c:tx>
            <c:strRef>
              <c:f>'Graph Data'!$B$104</c:f>
              <c:strCache>
                <c:ptCount val="1"/>
                <c:pt idx="0">
                  <c:v>Quebec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Data'!$C$104:$BL$104</c:f>
              <c:numCache>
                <c:formatCode>0</c:formatCode>
                <c:ptCount val="62"/>
                <c:pt idx="0">
                  <c:v>1974</c:v>
                </c:pt>
                <c:pt idx="1">
                  <c:v>2447</c:v>
                </c:pt>
                <c:pt idx="2">
                  <c:v>3376</c:v>
                </c:pt>
                <c:pt idx="3">
                  <c:v>4102</c:v>
                </c:pt>
                <c:pt idx="4">
                  <c:v>4549</c:v>
                </c:pt>
                <c:pt idx="5">
                  <c:v>5453</c:v>
                </c:pt>
                <c:pt idx="6">
                  <c:v>5734</c:v>
                </c:pt>
                <c:pt idx="7">
                  <c:v>6616</c:v>
                </c:pt>
                <c:pt idx="8">
                  <c:v>7848</c:v>
                </c:pt>
                <c:pt idx="9">
                  <c:v>8470</c:v>
                </c:pt>
                <c:pt idx="10">
                  <c:v>9029</c:v>
                </c:pt>
                <c:pt idx="11">
                  <c:v>9584</c:v>
                </c:pt>
                <c:pt idx="12">
                  <c:v>10095</c:v>
                </c:pt>
                <c:pt idx="13">
                  <c:v>10662</c:v>
                </c:pt>
                <c:pt idx="14">
                  <c:v>11215</c:v>
                </c:pt>
                <c:pt idx="15">
                  <c:v>11667</c:v>
                </c:pt>
                <c:pt idx="16">
                  <c:v>11882</c:v>
                </c:pt>
                <c:pt idx="17">
                  <c:v>12386</c:v>
                </c:pt>
                <c:pt idx="18">
                  <c:v>13033</c:v>
                </c:pt>
                <c:pt idx="19">
                  <c:v>13401</c:v>
                </c:pt>
                <c:pt idx="20">
                  <c:v>14533</c:v>
                </c:pt>
                <c:pt idx="21">
                  <c:v>15037</c:v>
                </c:pt>
                <c:pt idx="22">
                  <c:v>15540</c:v>
                </c:pt>
                <c:pt idx="23">
                  <c:v>16111</c:v>
                </c:pt>
                <c:pt idx="24">
                  <c:v>16552</c:v>
                </c:pt>
                <c:pt idx="25">
                  <c:v>16764</c:v>
                </c:pt>
                <c:pt idx="26">
                  <c:v>17866</c:v>
                </c:pt>
                <c:pt idx="27">
                  <c:v>18234</c:v>
                </c:pt>
                <c:pt idx="28">
                  <c:v>18785</c:v>
                </c:pt>
                <c:pt idx="29">
                  <c:v>19380</c:v>
                </c:pt>
                <c:pt idx="30">
                  <c:v>19926</c:v>
                </c:pt>
                <c:pt idx="31">
                  <c:v>20555</c:v>
                </c:pt>
                <c:pt idx="32">
                  <c:v>22765</c:v>
                </c:pt>
                <c:pt idx="33">
                  <c:v>23096</c:v>
                </c:pt>
                <c:pt idx="34">
                  <c:v>23533</c:v>
                </c:pt>
                <c:pt idx="35">
                  <c:v>23934</c:v>
                </c:pt>
                <c:pt idx="36">
                  <c:v>24497</c:v>
                </c:pt>
                <c:pt idx="37">
                  <c:v>24932</c:v>
                </c:pt>
                <c:pt idx="38">
                  <c:v>25753</c:v>
                </c:pt>
                <c:pt idx="39">
                  <c:v>26038</c:v>
                </c:pt>
                <c:pt idx="40">
                  <c:v>26241</c:v>
                </c:pt>
                <c:pt idx="41">
                  <c:v>26631</c:v>
                </c:pt>
                <c:pt idx="42">
                  <c:v>26980</c:v>
                </c:pt>
                <c:pt idx="43">
                  <c:v>27242</c:v>
                </c:pt>
                <c:pt idx="44">
                  <c:v>27986</c:v>
                </c:pt>
                <c:pt idx="45">
                  <c:v>28053</c:v>
                </c:pt>
                <c:pt idx="46">
                  <c:v>28235</c:v>
                </c:pt>
                <c:pt idx="47">
                  <c:v>28368</c:v>
                </c:pt>
                <c:pt idx="48">
                  <c:v>28457</c:v>
                </c:pt>
                <c:pt idx="49">
                  <c:v>28854</c:v>
                </c:pt>
                <c:pt idx="50">
                  <c:v>29261</c:v>
                </c:pt>
                <c:pt idx="51">
                  <c:v>29460</c:v>
                </c:pt>
                <c:pt idx="52">
                  <c:v>29592</c:v>
                </c:pt>
                <c:pt idx="53">
                  <c:v>29782</c:v>
                </c:pt>
                <c:pt idx="54">
                  <c:v>29961</c:v>
                </c:pt>
                <c:pt idx="55">
                  <c:v>30142</c:v>
                </c:pt>
                <c:pt idx="56">
                  <c:v>30096</c:v>
                </c:pt>
                <c:pt idx="57">
                  <c:v>30077</c:v>
                </c:pt>
                <c:pt idx="58">
                  <c:v>29992</c:v>
                </c:pt>
                <c:pt idx="59">
                  <c:v>29922</c:v>
                </c:pt>
                <c:pt idx="60">
                  <c:v>29699</c:v>
                </c:pt>
                <c:pt idx="61">
                  <c:v>29242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D3-4EC8-BFFE-30C41D6BB479}"/>
            </c:ext>
          </c:extLst>
        </c:ser>
        <c:ser>
          <c:idx val="3"/>
          <c:order val="2"/>
          <c:tx>
            <c:strRef>
              <c:f>'Graph Data'!$B$105</c:f>
              <c:strCache>
                <c:ptCount val="1"/>
                <c:pt idx="0">
                  <c:v>BC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Data'!$C$105:$BL$105</c:f>
              <c:numCache>
                <c:formatCode>0</c:formatCode>
                <c:ptCount val="62"/>
                <c:pt idx="0">
                  <c:v>501</c:v>
                </c:pt>
                <c:pt idx="1">
                  <c:v>471</c:v>
                </c:pt>
                <c:pt idx="2">
                  <c:v>482</c:v>
                </c:pt>
                <c:pt idx="3">
                  <c:v>482</c:v>
                </c:pt>
                <c:pt idx="4">
                  <c:v>435</c:v>
                </c:pt>
                <c:pt idx="5">
                  <c:v>449</c:v>
                </c:pt>
                <c:pt idx="6">
                  <c:v>498</c:v>
                </c:pt>
                <c:pt idx="7">
                  <c:v>461</c:v>
                </c:pt>
                <c:pt idx="8">
                  <c:v>444</c:v>
                </c:pt>
                <c:pt idx="9">
                  <c:v>443</c:v>
                </c:pt>
                <c:pt idx="10">
                  <c:v>450</c:v>
                </c:pt>
                <c:pt idx="11">
                  <c:v>468</c:v>
                </c:pt>
                <c:pt idx="12">
                  <c:v>476</c:v>
                </c:pt>
                <c:pt idx="13">
                  <c:v>482</c:v>
                </c:pt>
                <c:pt idx="14">
                  <c:v>495</c:v>
                </c:pt>
                <c:pt idx="15">
                  <c:v>503</c:v>
                </c:pt>
                <c:pt idx="16">
                  <c:v>491</c:v>
                </c:pt>
                <c:pt idx="17">
                  <c:v>514</c:v>
                </c:pt>
                <c:pt idx="18">
                  <c:v>574</c:v>
                </c:pt>
                <c:pt idx="19">
                  <c:v>579</c:v>
                </c:pt>
                <c:pt idx="20">
                  <c:v>574</c:v>
                </c:pt>
                <c:pt idx="21">
                  <c:v>596</c:v>
                </c:pt>
                <c:pt idx="22">
                  <c:v>626</c:v>
                </c:pt>
                <c:pt idx="23">
                  <c:v>638</c:v>
                </c:pt>
                <c:pt idx="24">
                  <c:v>641</c:v>
                </c:pt>
                <c:pt idx="25">
                  <c:v>711</c:v>
                </c:pt>
                <c:pt idx="26">
                  <c:v>705</c:v>
                </c:pt>
                <c:pt idx="27">
                  <c:v>717</c:v>
                </c:pt>
                <c:pt idx="28">
                  <c:v>673</c:v>
                </c:pt>
                <c:pt idx="29">
                  <c:v>676</c:v>
                </c:pt>
                <c:pt idx="30">
                  <c:v>679</c:v>
                </c:pt>
                <c:pt idx="31">
                  <c:v>676</c:v>
                </c:pt>
                <c:pt idx="32">
                  <c:v>690</c:v>
                </c:pt>
                <c:pt idx="33">
                  <c:v>639</c:v>
                </c:pt>
                <c:pt idx="34">
                  <c:v>637</c:v>
                </c:pt>
                <c:pt idx="35">
                  <c:v>650</c:v>
                </c:pt>
                <c:pt idx="36">
                  <c:v>609</c:v>
                </c:pt>
                <c:pt idx="37">
                  <c:v>542</c:v>
                </c:pt>
                <c:pt idx="38">
                  <c:v>504</c:v>
                </c:pt>
                <c:pt idx="39">
                  <c:v>397</c:v>
                </c:pt>
                <c:pt idx="40">
                  <c:v>385</c:v>
                </c:pt>
                <c:pt idx="41">
                  <c:v>372</c:v>
                </c:pt>
                <c:pt idx="42">
                  <c:v>359</c:v>
                </c:pt>
                <c:pt idx="43">
                  <c:v>355</c:v>
                </c:pt>
                <c:pt idx="44">
                  <c:v>335</c:v>
                </c:pt>
                <c:pt idx="45">
                  <c:v>325</c:v>
                </c:pt>
                <c:pt idx="46">
                  <c:v>343</c:v>
                </c:pt>
                <c:pt idx="47">
                  <c:v>307</c:v>
                </c:pt>
                <c:pt idx="48">
                  <c:v>310</c:v>
                </c:pt>
                <c:pt idx="49">
                  <c:v>303</c:v>
                </c:pt>
                <c:pt idx="50">
                  <c:v>266</c:v>
                </c:pt>
                <c:pt idx="51">
                  <c:v>258</c:v>
                </c:pt>
                <c:pt idx="52">
                  <c:v>244</c:v>
                </c:pt>
                <c:pt idx="53">
                  <c:v>241</c:v>
                </c:pt>
                <c:pt idx="54">
                  <c:v>228</c:v>
                </c:pt>
                <c:pt idx="55">
                  <c:v>228</c:v>
                </c:pt>
                <c:pt idx="56">
                  <c:v>225</c:v>
                </c:pt>
                <c:pt idx="57">
                  <c:v>207</c:v>
                </c:pt>
                <c:pt idx="58">
                  <c:v>214</c:v>
                </c:pt>
                <c:pt idx="59">
                  <c:v>201</c:v>
                </c:pt>
                <c:pt idx="60">
                  <c:v>193</c:v>
                </c:pt>
                <c:pt idx="61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D3-4EC8-BFFE-30C41D6BB479}"/>
            </c:ext>
          </c:extLst>
        </c:ser>
        <c:ser>
          <c:idx val="2"/>
          <c:order val="3"/>
          <c:tx>
            <c:strRef>
              <c:f>'Graph Data'!$B$106</c:f>
              <c:strCache>
                <c:ptCount val="1"/>
                <c:pt idx="0">
                  <c:v>Alberta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Data'!$C$106:$BL$106</c:f>
              <c:numCache>
                <c:formatCode>0</c:formatCode>
                <c:ptCount val="62"/>
                <c:pt idx="0">
                  <c:v>507</c:v>
                </c:pt>
                <c:pt idx="1">
                  <c:v>566</c:v>
                </c:pt>
                <c:pt idx="2">
                  <c:v>588</c:v>
                </c:pt>
                <c:pt idx="3">
                  <c:v>625</c:v>
                </c:pt>
                <c:pt idx="4">
                  <c:v>718</c:v>
                </c:pt>
                <c:pt idx="5">
                  <c:v>781</c:v>
                </c:pt>
                <c:pt idx="6">
                  <c:v>849</c:v>
                </c:pt>
                <c:pt idx="7">
                  <c:v>965</c:v>
                </c:pt>
                <c:pt idx="8">
                  <c:v>932</c:v>
                </c:pt>
                <c:pt idx="9">
                  <c:v>900</c:v>
                </c:pt>
                <c:pt idx="10">
                  <c:v>875</c:v>
                </c:pt>
                <c:pt idx="11">
                  <c:v>827</c:v>
                </c:pt>
                <c:pt idx="12">
                  <c:v>748</c:v>
                </c:pt>
                <c:pt idx="13">
                  <c:v>756</c:v>
                </c:pt>
                <c:pt idx="14">
                  <c:v>809</c:v>
                </c:pt>
                <c:pt idx="15">
                  <c:v>908</c:v>
                </c:pt>
                <c:pt idx="16">
                  <c:v>1034</c:v>
                </c:pt>
                <c:pt idx="17">
                  <c:v>1194</c:v>
                </c:pt>
                <c:pt idx="18">
                  <c:v>1223</c:v>
                </c:pt>
                <c:pt idx="19">
                  <c:v>1164</c:v>
                </c:pt>
                <c:pt idx="20">
                  <c:v>1619</c:v>
                </c:pt>
                <c:pt idx="21">
                  <c:v>1761</c:v>
                </c:pt>
                <c:pt idx="22">
                  <c:v>2025</c:v>
                </c:pt>
                <c:pt idx="23">
                  <c:v>2296</c:v>
                </c:pt>
                <c:pt idx="24">
                  <c:v>2548</c:v>
                </c:pt>
                <c:pt idx="25">
                  <c:v>2679</c:v>
                </c:pt>
                <c:pt idx="26">
                  <c:v>2957</c:v>
                </c:pt>
                <c:pt idx="27">
                  <c:v>2970</c:v>
                </c:pt>
                <c:pt idx="28">
                  <c:v>3125</c:v>
                </c:pt>
                <c:pt idx="29">
                  <c:v>3105</c:v>
                </c:pt>
                <c:pt idx="30">
                  <c:v>3122</c:v>
                </c:pt>
                <c:pt idx="31">
                  <c:v>3042</c:v>
                </c:pt>
                <c:pt idx="32">
                  <c:v>2817</c:v>
                </c:pt>
                <c:pt idx="33">
                  <c:v>2568</c:v>
                </c:pt>
                <c:pt idx="34">
                  <c:v>2299</c:v>
                </c:pt>
                <c:pt idx="35">
                  <c:v>2094</c:v>
                </c:pt>
                <c:pt idx="36">
                  <c:v>1963</c:v>
                </c:pt>
                <c:pt idx="37">
                  <c:v>1837</c:v>
                </c:pt>
                <c:pt idx="38">
                  <c:v>1524</c:v>
                </c:pt>
                <c:pt idx="39">
                  <c:v>1361</c:v>
                </c:pt>
                <c:pt idx="40">
                  <c:v>1211</c:v>
                </c:pt>
                <c:pt idx="41">
                  <c:v>1131</c:v>
                </c:pt>
                <c:pt idx="42">
                  <c:v>1073</c:v>
                </c:pt>
                <c:pt idx="43">
                  <c:v>1084</c:v>
                </c:pt>
                <c:pt idx="44">
                  <c:v>1036</c:v>
                </c:pt>
                <c:pt idx="45">
                  <c:v>1004</c:v>
                </c:pt>
                <c:pt idx="46">
                  <c:v>970</c:v>
                </c:pt>
                <c:pt idx="47">
                  <c:v>926</c:v>
                </c:pt>
                <c:pt idx="48">
                  <c:v>865</c:v>
                </c:pt>
                <c:pt idx="49">
                  <c:v>814</c:v>
                </c:pt>
                <c:pt idx="50">
                  <c:v>762</c:v>
                </c:pt>
                <c:pt idx="51">
                  <c:v>714</c:v>
                </c:pt>
                <c:pt idx="52">
                  <c:v>679</c:v>
                </c:pt>
                <c:pt idx="53">
                  <c:v>652</c:v>
                </c:pt>
                <c:pt idx="54">
                  <c:v>618</c:v>
                </c:pt>
                <c:pt idx="55">
                  <c:v>604</c:v>
                </c:pt>
                <c:pt idx="56">
                  <c:v>400</c:v>
                </c:pt>
                <c:pt idx="57">
                  <c:v>377</c:v>
                </c:pt>
                <c:pt idx="58">
                  <c:v>344</c:v>
                </c:pt>
                <c:pt idx="59">
                  <c:v>334</c:v>
                </c:pt>
                <c:pt idx="60">
                  <c:v>328</c:v>
                </c:pt>
                <c:pt idx="61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D3-4EC8-BFFE-30C41D6BB479}"/>
            </c:ext>
          </c:extLst>
        </c:ser>
        <c:ser>
          <c:idx val="4"/>
          <c:order val="4"/>
          <c:tx>
            <c:strRef>
              <c:f>'Graph Data'!$B$107</c:f>
              <c:strCache>
                <c:ptCount val="1"/>
                <c:pt idx="0">
                  <c:v>Manitoba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Data'!$C$107:$BL$107</c:f>
              <c:numCache>
                <c:formatCode>0</c:formatCode>
                <c:ptCount val="62"/>
                <c:pt idx="0">
                  <c:v>38</c:v>
                </c:pt>
                <c:pt idx="1">
                  <c:v>63</c:v>
                </c:pt>
                <c:pt idx="2">
                  <c:v>93</c:v>
                </c:pt>
                <c:pt idx="3">
                  <c:v>98</c:v>
                </c:pt>
                <c:pt idx="4">
                  <c:v>122</c:v>
                </c:pt>
                <c:pt idx="5">
                  <c:v>155</c:v>
                </c:pt>
                <c:pt idx="6">
                  <c:v>172</c:v>
                </c:pt>
                <c:pt idx="7">
                  <c:v>181</c:v>
                </c:pt>
                <c:pt idx="8">
                  <c:v>185</c:v>
                </c:pt>
                <c:pt idx="9">
                  <c:v>193</c:v>
                </c:pt>
                <c:pt idx="10">
                  <c:v>149</c:v>
                </c:pt>
                <c:pt idx="11">
                  <c:v>145</c:v>
                </c:pt>
                <c:pt idx="12">
                  <c:v>134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133</c:v>
                </c:pt>
                <c:pt idx="17">
                  <c:v>124</c:v>
                </c:pt>
                <c:pt idx="18">
                  <c:v>113</c:v>
                </c:pt>
                <c:pt idx="19">
                  <c:v>108</c:v>
                </c:pt>
                <c:pt idx="20">
                  <c:v>104</c:v>
                </c:pt>
                <c:pt idx="21">
                  <c:v>99</c:v>
                </c:pt>
                <c:pt idx="22">
                  <c:v>97</c:v>
                </c:pt>
                <c:pt idx="23">
                  <c:v>82</c:v>
                </c:pt>
                <c:pt idx="24">
                  <c:v>61</c:v>
                </c:pt>
                <c:pt idx="25">
                  <c:v>62</c:v>
                </c:pt>
                <c:pt idx="26">
                  <c:v>61</c:v>
                </c:pt>
                <c:pt idx="27">
                  <c:v>61</c:v>
                </c:pt>
                <c:pt idx="28">
                  <c:v>54</c:v>
                </c:pt>
                <c:pt idx="29">
                  <c:v>49</c:v>
                </c:pt>
                <c:pt idx="30">
                  <c:v>38</c:v>
                </c:pt>
                <c:pt idx="31">
                  <c:v>38</c:v>
                </c:pt>
                <c:pt idx="32">
                  <c:v>37</c:v>
                </c:pt>
                <c:pt idx="33">
                  <c:v>37</c:v>
                </c:pt>
                <c:pt idx="34">
                  <c:v>34</c:v>
                </c:pt>
                <c:pt idx="35">
                  <c:v>34</c:v>
                </c:pt>
                <c:pt idx="36">
                  <c:v>30</c:v>
                </c:pt>
                <c:pt idx="37">
                  <c:v>30</c:v>
                </c:pt>
                <c:pt idx="38">
                  <c:v>35</c:v>
                </c:pt>
                <c:pt idx="39">
                  <c:v>32</c:v>
                </c:pt>
                <c:pt idx="40">
                  <c:v>32</c:v>
                </c:pt>
                <c:pt idx="41">
                  <c:v>30</c:v>
                </c:pt>
                <c:pt idx="42">
                  <c:v>28</c:v>
                </c:pt>
                <c:pt idx="43">
                  <c:v>25</c:v>
                </c:pt>
                <c:pt idx="44">
                  <c:v>26</c:v>
                </c:pt>
                <c:pt idx="45">
                  <c:v>26</c:v>
                </c:pt>
                <c:pt idx="46">
                  <c:v>23</c:v>
                </c:pt>
                <c:pt idx="47">
                  <c:v>18</c:v>
                </c:pt>
                <c:pt idx="48">
                  <c:v>18</c:v>
                </c:pt>
                <c:pt idx="49">
                  <c:v>17</c:v>
                </c:pt>
                <c:pt idx="50">
                  <c:v>17</c:v>
                </c:pt>
                <c:pt idx="51">
                  <c:v>16</c:v>
                </c:pt>
                <c:pt idx="52">
                  <c:v>14</c:v>
                </c:pt>
                <c:pt idx="53">
                  <c:v>14</c:v>
                </c:pt>
                <c:pt idx="54">
                  <c:v>14</c:v>
                </c:pt>
                <c:pt idx="55">
                  <c:v>9</c:v>
                </c:pt>
                <c:pt idx="56">
                  <c:v>10</c:v>
                </c:pt>
                <c:pt idx="57">
                  <c:v>12</c:v>
                </c:pt>
                <c:pt idx="58">
                  <c:v>9</c:v>
                </c:pt>
                <c:pt idx="59">
                  <c:v>7</c:v>
                </c:pt>
                <c:pt idx="60">
                  <c:v>9</c:v>
                </c:pt>
                <c:pt idx="6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D3-4EC8-BFFE-30C41D6BB479}"/>
            </c:ext>
          </c:extLst>
        </c:ser>
        <c:ser>
          <c:idx val="5"/>
          <c:order val="5"/>
          <c:tx>
            <c:strRef>
              <c:f>'Graph Data'!$B$108</c:f>
              <c:strCache>
                <c:ptCount val="1"/>
                <c:pt idx="0">
                  <c:v>Sask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Data'!$C$108:$BL$108</c:f>
              <c:numCache>
                <c:formatCode>0</c:formatCode>
                <c:ptCount val="62"/>
                <c:pt idx="0">
                  <c:v>101</c:v>
                </c:pt>
                <c:pt idx="1">
                  <c:v>131</c:v>
                </c:pt>
                <c:pt idx="2">
                  <c:v>166</c:v>
                </c:pt>
                <c:pt idx="3">
                  <c:v>161</c:v>
                </c:pt>
                <c:pt idx="4">
                  <c:v>160</c:v>
                </c:pt>
                <c:pt idx="5">
                  <c:v>167</c:v>
                </c:pt>
                <c:pt idx="6">
                  <c:v>169</c:v>
                </c:pt>
                <c:pt idx="7">
                  <c:v>173</c:v>
                </c:pt>
                <c:pt idx="8">
                  <c:v>169</c:v>
                </c:pt>
                <c:pt idx="9">
                  <c:v>169</c:v>
                </c:pt>
                <c:pt idx="10">
                  <c:v>165</c:v>
                </c:pt>
                <c:pt idx="11">
                  <c:v>160</c:v>
                </c:pt>
                <c:pt idx="12">
                  <c:v>146</c:v>
                </c:pt>
                <c:pt idx="13">
                  <c:v>138</c:v>
                </c:pt>
                <c:pt idx="14">
                  <c:v>118</c:v>
                </c:pt>
                <c:pt idx="15">
                  <c:v>110</c:v>
                </c:pt>
                <c:pt idx="16">
                  <c:v>95</c:v>
                </c:pt>
                <c:pt idx="17">
                  <c:v>82</c:v>
                </c:pt>
                <c:pt idx="18">
                  <c:v>75</c:v>
                </c:pt>
                <c:pt idx="19">
                  <c:v>75</c:v>
                </c:pt>
                <c:pt idx="20">
                  <c:v>74</c:v>
                </c:pt>
                <c:pt idx="21">
                  <c:v>64</c:v>
                </c:pt>
                <c:pt idx="22">
                  <c:v>61</c:v>
                </c:pt>
                <c:pt idx="23">
                  <c:v>57</c:v>
                </c:pt>
                <c:pt idx="24">
                  <c:v>57</c:v>
                </c:pt>
                <c:pt idx="25">
                  <c:v>57</c:v>
                </c:pt>
                <c:pt idx="26">
                  <c:v>72</c:v>
                </c:pt>
                <c:pt idx="27">
                  <c:v>70</c:v>
                </c:pt>
                <c:pt idx="28">
                  <c:v>86</c:v>
                </c:pt>
                <c:pt idx="29">
                  <c:v>88</c:v>
                </c:pt>
                <c:pt idx="30">
                  <c:v>112</c:v>
                </c:pt>
                <c:pt idx="31">
                  <c:v>113</c:v>
                </c:pt>
                <c:pt idx="32">
                  <c:v>154</c:v>
                </c:pt>
                <c:pt idx="33">
                  <c:v>171</c:v>
                </c:pt>
                <c:pt idx="34">
                  <c:v>194</c:v>
                </c:pt>
                <c:pt idx="35">
                  <c:v>196</c:v>
                </c:pt>
                <c:pt idx="36">
                  <c:v>203</c:v>
                </c:pt>
                <c:pt idx="37">
                  <c:v>207</c:v>
                </c:pt>
                <c:pt idx="38">
                  <c:v>199</c:v>
                </c:pt>
                <c:pt idx="39">
                  <c:v>193</c:v>
                </c:pt>
                <c:pt idx="40">
                  <c:v>186</c:v>
                </c:pt>
                <c:pt idx="41">
                  <c:v>178</c:v>
                </c:pt>
                <c:pt idx="42">
                  <c:v>176</c:v>
                </c:pt>
                <c:pt idx="43">
                  <c:v>152</c:v>
                </c:pt>
                <c:pt idx="44">
                  <c:v>131</c:v>
                </c:pt>
                <c:pt idx="45">
                  <c:v>123</c:v>
                </c:pt>
                <c:pt idx="46">
                  <c:v>119</c:v>
                </c:pt>
                <c:pt idx="47">
                  <c:v>106</c:v>
                </c:pt>
                <c:pt idx="48">
                  <c:v>99</c:v>
                </c:pt>
                <c:pt idx="49">
                  <c:v>88</c:v>
                </c:pt>
                <c:pt idx="50">
                  <c:v>81</c:v>
                </c:pt>
                <c:pt idx="51">
                  <c:v>77</c:v>
                </c:pt>
                <c:pt idx="52">
                  <c:v>68</c:v>
                </c:pt>
                <c:pt idx="53">
                  <c:v>61</c:v>
                </c:pt>
                <c:pt idx="54">
                  <c:v>61</c:v>
                </c:pt>
                <c:pt idx="55">
                  <c:v>55</c:v>
                </c:pt>
                <c:pt idx="56">
                  <c:v>47</c:v>
                </c:pt>
                <c:pt idx="57">
                  <c:v>33</c:v>
                </c:pt>
                <c:pt idx="58">
                  <c:v>34</c:v>
                </c:pt>
                <c:pt idx="59">
                  <c:v>29</c:v>
                </c:pt>
                <c:pt idx="60">
                  <c:v>27</c:v>
                </c:pt>
                <c:pt idx="6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D3-4EC8-BFFE-30C41D6BB479}"/>
            </c:ext>
          </c:extLst>
        </c:ser>
        <c:ser>
          <c:idx val="6"/>
          <c:order val="6"/>
          <c:tx>
            <c:strRef>
              <c:f>'Graph Data'!$B$109</c:f>
              <c:strCache>
                <c:ptCount val="1"/>
                <c:pt idx="0">
                  <c:v>NS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Data'!$C$109:$BL$109</c:f>
              <c:numCache>
                <c:formatCode>0</c:formatCode>
                <c:ptCount val="62"/>
                <c:pt idx="0">
                  <c:v>87</c:v>
                </c:pt>
                <c:pt idx="1">
                  <c:v>119</c:v>
                </c:pt>
                <c:pt idx="2">
                  <c:v>117</c:v>
                </c:pt>
                <c:pt idx="3">
                  <c:v>137</c:v>
                </c:pt>
                <c:pt idx="4">
                  <c:v>163</c:v>
                </c:pt>
                <c:pt idx="5">
                  <c:v>177</c:v>
                </c:pt>
                <c:pt idx="6">
                  <c:v>186</c:v>
                </c:pt>
                <c:pt idx="7">
                  <c:v>186</c:v>
                </c:pt>
                <c:pt idx="8">
                  <c:v>229</c:v>
                </c:pt>
                <c:pt idx="9">
                  <c:v>243</c:v>
                </c:pt>
                <c:pt idx="10">
                  <c:v>264</c:v>
                </c:pt>
                <c:pt idx="11">
                  <c:v>289</c:v>
                </c:pt>
                <c:pt idx="12">
                  <c:v>312</c:v>
                </c:pt>
                <c:pt idx="13">
                  <c:v>331</c:v>
                </c:pt>
                <c:pt idx="14">
                  <c:v>370</c:v>
                </c:pt>
                <c:pt idx="15">
                  <c:v>390</c:v>
                </c:pt>
                <c:pt idx="16">
                  <c:v>409</c:v>
                </c:pt>
                <c:pt idx="17">
                  <c:v>400</c:v>
                </c:pt>
                <c:pt idx="18">
                  <c:v>425</c:v>
                </c:pt>
                <c:pt idx="19">
                  <c:v>458</c:v>
                </c:pt>
                <c:pt idx="20">
                  <c:v>464</c:v>
                </c:pt>
                <c:pt idx="21">
                  <c:v>441</c:v>
                </c:pt>
                <c:pt idx="22">
                  <c:v>430</c:v>
                </c:pt>
                <c:pt idx="23">
                  <c:v>453</c:v>
                </c:pt>
                <c:pt idx="24">
                  <c:v>442</c:v>
                </c:pt>
                <c:pt idx="25">
                  <c:v>431</c:v>
                </c:pt>
                <c:pt idx="26">
                  <c:v>367</c:v>
                </c:pt>
                <c:pt idx="27">
                  <c:v>366</c:v>
                </c:pt>
                <c:pt idx="28">
                  <c:v>378</c:v>
                </c:pt>
                <c:pt idx="29">
                  <c:v>374</c:v>
                </c:pt>
                <c:pt idx="30">
                  <c:v>338</c:v>
                </c:pt>
                <c:pt idx="31">
                  <c:v>323</c:v>
                </c:pt>
                <c:pt idx="32">
                  <c:v>309</c:v>
                </c:pt>
                <c:pt idx="33">
                  <c:v>298</c:v>
                </c:pt>
                <c:pt idx="34">
                  <c:v>296</c:v>
                </c:pt>
                <c:pt idx="35">
                  <c:v>255</c:v>
                </c:pt>
                <c:pt idx="36">
                  <c:v>240</c:v>
                </c:pt>
                <c:pt idx="37">
                  <c:v>221</c:v>
                </c:pt>
                <c:pt idx="38">
                  <c:v>204</c:v>
                </c:pt>
                <c:pt idx="39">
                  <c:v>108</c:v>
                </c:pt>
                <c:pt idx="40">
                  <c:v>103</c:v>
                </c:pt>
                <c:pt idx="41">
                  <c:v>66</c:v>
                </c:pt>
                <c:pt idx="42">
                  <c:v>61</c:v>
                </c:pt>
                <c:pt idx="43">
                  <c:v>52</c:v>
                </c:pt>
                <c:pt idx="44">
                  <c:v>42</c:v>
                </c:pt>
                <c:pt idx="45">
                  <c:v>32</c:v>
                </c:pt>
                <c:pt idx="46">
                  <c:v>32</c:v>
                </c:pt>
                <c:pt idx="47">
                  <c:v>29</c:v>
                </c:pt>
                <c:pt idx="48">
                  <c:v>29</c:v>
                </c:pt>
                <c:pt idx="49">
                  <c:v>22</c:v>
                </c:pt>
                <c:pt idx="50">
                  <c:v>19</c:v>
                </c:pt>
                <c:pt idx="51">
                  <c:v>17</c:v>
                </c:pt>
                <c:pt idx="52">
                  <c:v>19</c:v>
                </c:pt>
                <c:pt idx="53">
                  <c:v>19</c:v>
                </c:pt>
                <c:pt idx="54">
                  <c:v>18</c:v>
                </c:pt>
                <c:pt idx="55">
                  <c:v>18</c:v>
                </c:pt>
                <c:pt idx="56">
                  <c:v>13</c:v>
                </c:pt>
                <c:pt idx="57">
                  <c:v>5</c:v>
                </c:pt>
                <c:pt idx="58">
                  <c:v>5</c:v>
                </c:pt>
                <c:pt idx="59">
                  <c:v>2</c:v>
                </c:pt>
                <c:pt idx="60">
                  <c:v>1</c:v>
                </c:pt>
                <c:pt idx="6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D3-4EC8-BFFE-30C41D6BB479}"/>
            </c:ext>
          </c:extLst>
        </c:ser>
        <c:ser>
          <c:idx val="9"/>
          <c:order val="7"/>
          <c:tx>
            <c:strRef>
              <c:f>'Graph Data'!$B$110</c:f>
              <c:strCache>
                <c:ptCount val="1"/>
                <c:pt idx="0">
                  <c:v>NB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Data'!$C$110:$BL$110</c:f>
              <c:numCache>
                <c:formatCode>0</c:formatCode>
                <c:ptCount val="62"/>
                <c:pt idx="0">
                  <c:v>44</c:v>
                </c:pt>
                <c:pt idx="1">
                  <c:v>49</c:v>
                </c:pt>
                <c:pt idx="2">
                  <c:v>66</c:v>
                </c:pt>
                <c:pt idx="3">
                  <c:v>61</c:v>
                </c:pt>
                <c:pt idx="4">
                  <c:v>67</c:v>
                </c:pt>
                <c:pt idx="5">
                  <c:v>69</c:v>
                </c:pt>
                <c:pt idx="6">
                  <c:v>70</c:v>
                </c:pt>
                <c:pt idx="7">
                  <c:v>73</c:v>
                </c:pt>
                <c:pt idx="8">
                  <c:v>73</c:v>
                </c:pt>
                <c:pt idx="9">
                  <c:v>66</c:v>
                </c:pt>
                <c:pt idx="10">
                  <c:v>58</c:v>
                </c:pt>
                <c:pt idx="11">
                  <c:v>58</c:v>
                </c:pt>
                <c:pt idx="12">
                  <c:v>52</c:v>
                </c:pt>
                <c:pt idx="13">
                  <c:v>42</c:v>
                </c:pt>
                <c:pt idx="14">
                  <c:v>42</c:v>
                </c:pt>
                <c:pt idx="15">
                  <c:v>41</c:v>
                </c:pt>
                <c:pt idx="16">
                  <c:v>40</c:v>
                </c:pt>
                <c:pt idx="17">
                  <c:v>37</c:v>
                </c:pt>
                <c:pt idx="18">
                  <c:v>34</c:v>
                </c:pt>
                <c:pt idx="19">
                  <c:v>31</c:v>
                </c:pt>
                <c:pt idx="20">
                  <c:v>20</c:v>
                </c:pt>
                <c:pt idx="21">
                  <c:v>16</c:v>
                </c:pt>
                <c:pt idx="22">
                  <c:v>14</c:v>
                </c:pt>
                <c:pt idx="23">
                  <c:v>14</c:v>
                </c:pt>
                <c:pt idx="24">
                  <c:v>11</c:v>
                </c:pt>
                <c:pt idx="25">
                  <c:v>11</c:v>
                </c:pt>
                <c:pt idx="26">
                  <c:v>6</c:v>
                </c:pt>
                <c:pt idx="27">
                  <c:v>6</c:v>
                </c:pt>
                <c:pt idx="28">
                  <c:v>4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  <c:pt idx="53">
                  <c:v>6</c:v>
                </c:pt>
                <c:pt idx="54">
                  <c:v>8</c:v>
                </c:pt>
                <c:pt idx="55">
                  <c:v>9</c:v>
                </c:pt>
                <c:pt idx="56">
                  <c:v>12</c:v>
                </c:pt>
                <c:pt idx="57">
                  <c:v>13</c:v>
                </c:pt>
                <c:pt idx="58">
                  <c:v>15</c:v>
                </c:pt>
                <c:pt idx="59">
                  <c:v>15</c:v>
                </c:pt>
                <c:pt idx="60">
                  <c:v>14</c:v>
                </c:pt>
                <c:pt idx="6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D3-4EC8-BFFE-30C41D6BB479}"/>
            </c:ext>
          </c:extLst>
        </c:ser>
        <c:ser>
          <c:idx val="10"/>
          <c:order val="8"/>
          <c:tx>
            <c:strRef>
              <c:f>'Graph Data'!$B$111</c:f>
              <c:strCache>
                <c:ptCount val="1"/>
                <c:pt idx="0">
                  <c:v>PEI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Data'!$C$111:$BL$111</c:f>
              <c:numCache>
                <c:formatCode>0</c:formatCode>
                <c:ptCount val="62"/>
                <c:pt idx="0">
                  <c:v>8</c:v>
                </c:pt>
                <c:pt idx="1">
                  <c:v>10</c:v>
                </c:pt>
                <c:pt idx="2">
                  <c:v>17</c:v>
                </c:pt>
                <c:pt idx="3">
                  <c:v>20</c:v>
                </c:pt>
                <c:pt idx="4">
                  <c:v>11</c:v>
                </c:pt>
                <c:pt idx="5">
                  <c:v>19</c:v>
                </c:pt>
                <c:pt idx="6">
                  <c:v>18</c:v>
                </c:pt>
                <c:pt idx="7">
                  <c:v>16</c:v>
                </c:pt>
                <c:pt idx="8">
                  <c:v>14</c:v>
                </c:pt>
                <c:pt idx="9">
                  <c:v>14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D3-4EC8-BFFE-30C41D6BB479}"/>
            </c:ext>
          </c:extLst>
        </c:ser>
        <c:ser>
          <c:idx val="11"/>
          <c:order val="9"/>
          <c:tx>
            <c:strRef>
              <c:f>'Graph Data'!$B$112</c:f>
              <c:strCache>
                <c:ptCount val="1"/>
                <c:pt idx="0">
                  <c:v>NFLD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 Data'!$C$102:$BL$102</c:f>
              <c:strCache>
                <c:ptCount val="62"/>
                <c:pt idx="0">
                  <c:v>27/03/2020</c:v>
                </c:pt>
                <c:pt idx="1">
                  <c:v>28/03/2020</c:v>
                </c:pt>
                <c:pt idx="2">
                  <c:v>30/03/2020</c:v>
                </c:pt>
                <c:pt idx="3">
                  <c:v>31/04/2020</c:v>
                </c:pt>
                <c:pt idx="4">
                  <c:v>01/04/2020</c:v>
                </c:pt>
                <c:pt idx="5">
                  <c:v>02/04/2020</c:v>
                </c:pt>
                <c:pt idx="6">
                  <c:v>03/04/2020</c:v>
                </c:pt>
                <c:pt idx="7">
                  <c:v>04/04/2020</c:v>
                </c:pt>
                <c:pt idx="8">
                  <c:v>06/04/2020</c:v>
                </c:pt>
                <c:pt idx="9">
                  <c:v>07/04/2020</c:v>
                </c:pt>
                <c:pt idx="10">
                  <c:v>08/04/2020</c:v>
                </c:pt>
                <c:pt idx="11">
                  <c:v>09/04/2020</c:v>
                </c:pt>
                <c:pt idx="12">
                  <c:v>10/04/2020</c:v>
                </c:pt>
                <c:pt idx="13">
                  <c:v>11/04/2020</c:v>
                </c:pt>
                <c:pt idx="14">
                  <c:v>13/04/2020</c:v>
                </c:pt>
                <c:pt idx="15">
                  <c:v>14/04/2020</c:v>
                </c:pt>
                <c:pt idx="16">
                  <c:v>15/04/2020</c:v>
                </c:pt>
                <c:pt idx="17">
                  <c:v>16/04/2020</c:v>
                </c:pt>
                <c:pt idx="18">
                  <c:v>17/04/2020</c:v>
                </c:pt>
                <c:pt idx="19">
                  <c:v>18/04/2020</c:v>
                </c:pt>
                <c:pt idx="20">
                  <c:v>20/04/2020</c:v>
                </c:pt>
                <c:pt idx="21">
                  <c:v>21/04/2020</c:v>
                </c:pt>
                <c:pt idx="22">
                  <c:v>22/04/2020</c:v>
                </c:pt>
                <c:pt idx="23">
                  <c:v>23/04/2020</c:v>
                </c:pt>
                <c:pt idx="24">
                  <c:v>24/04/2020</c:v>
                </c:pt>
                <c:pt idx="25">
                  <c:v>25/04/2020</c:v>
                </c:pt>
                <c:pt idx="26">
                  <c:v>27/04/2020</c:v>
                </c:pt>
                <c:pt idx="27">
                  <c:v>28/04/2020</c:v>
                </c:pt>
                <c:pt idx="28">
                  <c:v>29/04/2020</c:v>
                </c:pt>
                <c:pt idx="29">
                  <c:v>30/04/2020</c:v>
                </c:pt>
                <c:pt idx="30">
                  <c:v>01/05/2020</c:v>
                </c:pt>
                <c:pt idx="31">
                  <c:v>02/05/2020</c:v>
                </c:pt>
                <c:pt idx="32">
                  <c:v>04/05/2020</c:v>
                </c:pt>
                <c:pt idx="33">
                  <c:v>05/05/2020</c:v>
                </c:pt>
                <c:pt idx="34">
                  <c:v>06/05/2020</c:v>
                </c:pt>
                <c:pt idx="35">
                  <c:v>07/05/2020</c:v>
                </c:pt>
                <c:pt idx="36">
                  <c:v>08/05/2020</c:v>
                </c:pt>
                <c:pt idx="37">
                  <c:v>09/05/2020</c:v>
                </c:pt>
                <c:pt idx="38">
                  <c:v>11/05/2020</c:v>
                </c:pt>
                <c:pt idx="39">
                  <c:v>12/05/2020</c:v>
                </c:pt>
                <c:pt idx="40">
                  <c:v>13/05/2020</c:v>
                </c:pt>
                <c:pt idx="41">
                  <c:v>14/05/2020</c:v>
                </c:pt>
                <c:pt idx="42">
                  <c:v>15/05/2020</c:v>
                </c:pt>
                <c:pt idx="43">
                  <c:v>16/05/2020</c:v>
                </c:pt>
                <c:pt idx="44">
                  <c:v>18/05/2020</c:v>
                </c:pt>
                <c:pt idx="45">
                  <c:v>19/05/2020</c:v>
                </c:pt>
                <c:pt idx="46">
                  <c:v>20/05/2020</c:v>
                </c:pt>
                <c:pt idx="47">
                  <c:v>21/05/2020</c:v>
                </c:pt>
                <c:pt idx="48">
                  <c:v>22/05/2020</c:v>
                </c:pt>
                <c:pt idx="49">
                  <c:v>23/05/2020</c:v>
                </c:pt>
                <c:pt idx="50">
                  <c:v>25/05/2020</c:v>
                </c:pt>
                <c:pt idx="51">
                  <c:v>26/05/2020</c:v>
                </c:pt>
                <c:pt idx="52">
                  <c:v>27/05/2020</c:v>
                </c:pt>
                <c:pt idx="53">
                  <c:v>28/05/2020</c:v>
                </c:pt>
                <c:pt idx="54">
                  <c:v>29/05/2020</c:v>
                </c:pt>
                <c:pt idx="55">
                  <c:v>30/05/2020</c:v>
                </c:pt>
                <c:pt idx="56">
                  <c:v>01/06/2020</c:v>
                </c:pt>
                <c:pt idx="57">
                  <c:v>02/06/2020</c:v>
                </c:pt>
                <c:pt idx="58">
                  <c:v>03/06/2020</c:v>
                </c:pt>
                <c:pt idx="59">
                  <c:v>04/06/2020</c:v>
                </c:pt>
                <c:pt idx="60">
                  <c:v>05/06/2020</c:v>
                </c:pt>
                <c:pt idx="61">
                  <c:v>06/06/2020</c:v>
                </c:pt>
              </c:strCache>
            </c:strRef>
          </c:cat>
          <c:val>
            <c:numRef>
              <c:f>'Graph Data'!$C$112:$BL$112</c:f>
              <c:numCache>
                <c:formatCode>0</c:formatCode>
                <c:ptCount val="62"/>
                <c:pt idx="0">
                  <c:v>102</c:v>
                </c:pt>
                <c:pt idx="1">
                  <c:v>116</c:v>
                </c:pt>
                <c:pt idx="2">
                  <c:v>143</c:v>
                </c:pt>
                <c:pt idx="3">
                  <c:v>144</c:v>
                </c:pt>
                <c:pt idx="4">
                  <c:v>167</c:v>
                </c:pt>
                <c:pt idx="5">
                  <c:v>172</c:v>
                </c:pt>
                <c:pt idx="6">
                  <c:v>186</c:v>
                </c:pt>
                <c:pt idx="7">
                  <c:v>184</c:v>
                </c:pt>
                <c:pt idx="8">
                  <c:v>192</c:v>
                </c:pt>
                <c:pt idx="9">
                  <c:v>177</c:v>
                </c:pt>
                <c:pt idx="10">
                  <c:v>156</c:v>
                </c:pt>
                <c:pt idx="11">
                  <c:v>138</c:v>
                </c:pt>
                <c:pt idx="12">
                  <c:v>134</c:v>
                </c:pt>
                <c:pt idx="13">
                  <c:v>119</c:v>
                </c:pt>
                <c:pt idx="14">
                  <c:v>119</c:v>
                </c:pt>
                <c:pt idx="15">
                  <c:v>92</c:v>
                </c:pt>
                <c:pt idx="16">
                  <c:v>85</c:v>
                </c:pt>
                <c:pt idx="17">
                  <c:v>79</c:v>
                </c:pt>
                <c:pt idx="18">
                  <c:v>77</c:v>
                </c:pt>
                <c:pt idx="19">
                  <c:v>64</c:v>
                </c:pt>
                <c:pt idx="20">
                  <c:v>62</c:v>
                </c:pt>
                <c:pt idx="21">
                  <c:v>59</c:v>
                </c:pt>
                <c:pt idx="22">
                  <c:v>54</c:v>
                </c:pt>
                <c:pt idx="23">
                  <c:v>48</c:v>
                </c:pt>
                <c:pt idx="24">
                  <c:v>46</c:v>
                </c:pt>
                <c:pt idx="25">
                  <c:v>46</c:v>
                </c:pt>
                <c:pt idx="26">
                  <c:v>33</c:v>
                </c:pt>
                <c:pt idx="27">
                  <c:v>33</c:v>
                </c:pt>
                <c:pt idx="28">
                  <c:v>33</c:v>
                </c:pt>
                <c:pt idx="29">
                  <c:v>0</c:v>
                </c:pt>
                <c:pt idx="30">
                  <c:v>26</c:v>
                </c:pt>
                <c:pt idx="31">
                  <c:v>25</c:v>
                </c:pt>
                <c:pt idx="32">
                  <c:v>23</c:v>
                </c:pt>
                <c:pt idx="33">
                  <c:v>15</c:v>
                </c:pt>
                <c:pt idx="34">
                  <c:v>12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11</c:v>
                </c:pt>
                <c:pt idx="41">
                  <c:v>10</c:v>
                </c:pt>
                <c:pt idx="42">
                  <c:v>9</c:v>
                </c:pt>
                <c:pt idx="43">
                  <c:v>8</c:v>
                </c:pt>
                <c:pt idx="44">
                  <c:v>8</c:v>
                </c:pt>
                <c:pt idx="45">
                  <c:v>7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  <c:pt idx="52">
                  <c:v>2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D3-4EC8-BFFE-30C41D6BB47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100"/>
        <c:axId val="157080640"/>
        <c:axId val="157079000"/>
      </c:barChart>
      <c:catAx>
        <c:axId val="15708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79000"/>
        <c:crosses val="autoZero"/>
        <c:auto val="1"/>
        <c:lblAlgn val="ctr"/>
        <c:lblOffset val="100"/>
        <c:tickLblSkip val="3"/>
        <c:noMultiLvlLbl val="0"/>
      </c:catAx>
      <c:valAx>
        <c:axId val="15707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0640"/>
        <c:crosses val="autoZero"/>
        <c:crossBetween val="between"/>
      </c:valAx>
      <c:spPr>
        <a:noFill/>
        <a:ln>
          <a:noFill/>
        </a:ln>
        <a:effectLst>
          <a:softEdge rad="431800"/>
        </a:effectLst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New Cases Per Capita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91-4293-978C-30BDABCA67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91-4293-978C-30BDABCA67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91-4293-978C-30BDABCA67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91-4293-978C-30BDABCA67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91-4293-978C-30BDABCA67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E91-4293-978C-30BDABCA67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E91-4293-978C-30BDABCA67B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E91-4293-978C-30BDABCA67B9}"/>
              </c:ext>
            </c:extLst>
          </c:dPt>
          <c:dPt>
            <c:idx val="8"/>
            <c:bubble3D val="0"/>
            <c:spPr>
              <a:solidFill>
                <a:srgbClr val="255E9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E91-4293-978C-30BDABCA67B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E91-4293-978C-30BDABCA67B9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91-4293-978C-30BDABCA67B9}"/>
                </c:ext>
              </c:extLst>
            </c:dLbl>
            <c:dLbl>
              <c:idx val="5"/>
              <c:layout>
                <c:manualLayout>
                  <c:x val="-6.1787531188231104E-2"/>
                  <c:y val="0.126360866284119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E91-4293-978C-30BDABCA6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E91-4293-978C-30BDABCA67B9}"/>
                </c:ext>
              </c:extLst>
            </c:dLbl>
            <c:dLbl>
              <c:idx val="8"/>
              <c:layout>
                <c:manualLayout>
                  <c:x val="-7.3356663750364537E-2"/>
                  <c:y val="7.82539049707394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91-4293-978C-30BDABCA67B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Data!$B$927:$B$936</c:f>
              <c:strCache>
                <c:ptCount val="10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</c:strCache>
            </c:strRef>
          </c:cat>
          <c:val>
            <c:numRef>
              <c:f>Data!$S$927:$S$936</c:f>
              <c:numCache>
                <c:formatCode>_-* #,##0_-;\-* #,##0_-;_-* "-"??_-;_-@_-</c:formatCode>
                <c:ptCount val="10"/>
                <c:pt idx="0">
                  <c:v>9.273356401384083</c:v>
                </c:pt>
                <c:pt idx="1">
                  <c:v>10.55753262158956</c:v>
                </c:pt>
                <c:pt idx="2">
                  <c:v>3.0165054069436543</c:v>
                </c:pt>
                <c:pt idx="3">
                  <c:v>11.09282422646478</c:v>
                </c:pt>
                <c:pt idx="4">
                  <c:v>0</c:v>
                </c:pt>
                <c:pt idx="5">
                  <c:v>2.3199023199023201</c:v>
                </c:pt>
                <c:pt idx="6">
                  <c:v>0.29607698001480387</c:v>
                </c:pt>
                <c:pt idx="7">
                  <c:v>0.1850481125092524</c:v>
                </c:pt>
                <c:pt idx="8">
                  <c:v>2.7829313543599254</c:v>
                </c:pt>
                <c:pt idx="9">
                  <c:v>0.27262813522355506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E91-4293-978C-30BDABCA6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% Death Per Case (CFR)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Data'!$B$63</c:f>
              <c:strCache>
                <c:ptCount val="1"/>
                <c:pt idx="0">
                  <c:v>Ontario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Data'!$C$62:$BL$62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Data'!$C$63:$BL$63</c:f>
              <c:numCache>
                <c:formatCode>0.0%</c:formatCode>
                <c:ptCount val="62"/>
                <c:pt idx="0">
                  <c:v>1.812688821752266E-2</c:v>
                </c:pt>
                <c:pt idx="1">
                  <c:v>1.5498154981549815E-2</c:v>
                </c:pt>
                <c:pt idx="2">
                  <c:v>1.9343493552168817E-2</c:v>
                </c:pt>
                <c:pt idx="3">
                  <c:v>1.6785350966429299E-2</c:v>
                </c:pt>
                <c:pt idx="4">
                  <c:v>1.5468227424749164E-2</c:v>
                </c:pt>
                <c:pt idx="5">
                  <c:v>1.8976011457214465E-2</c:v>
                </c:pt>
                <c:pt idx="6">
                  <c:v>2.0583717357910907E-2</c:v>
                </c:pt>
                <c:pt idx="7">
                  <c:v>2.5895316804407712E-2</c:v>
                </c:pt>
                <c:pt idx="8">
                  <c:v>3.036576949620428E-2</c:v>
                </c:pt>
                <c:pt idx="9">
                  <c:v>3.237410071942446E-2</c:v>
                </c:pt>
                <c:pt idx="10">
                  <c:v>3.2979529946929494E-2</c:v>
                </c:pt>
                <c:pt idx="11">
                  <c:v>3.4728251432540373E-2</c:v>
                </c:pt>
                <c:pt idx="12">
                  <c:v>3.5594035594035595E-2</c:v>
                </c:pt>
                <c:pt idx="13">
                  <c:v>3.8056558363417571E-2</c:v>
                </c:pt>
                <c:pt idx="14">
                  <c:v>3.8955823293172688E-2</c:v>
                </c:pt>
                <c:pt idx="15">
                  <c:v>4.1996730793411291E-2</c:v>
                </c:pt>
                <c:pt idx="16">
                  <c:v>4.5417010734929812E-2</c:v>
                </c:pt>
                <c:pt idx="17">
                  <c:v>4.7204553063274188E-2</c:v>
                </c:pt>
                <c:pt idx="18">
                  <c:v>5.0183727034120738E-2</c:v>
                </c:pt>
                <c:pt idx="19">
                  <c:v>5.1348651348651346E-2</c:v>
                </c:pt>
                <c:pt idx="20">
                  <c:v>5.2217453505007151E-2</c:v>
                </c:pt>
                <c:pt idx="21">
                  <c:v>5.3003834682573497E-2</c:v>
                </c:pt>
                <c:pt idx="22">
                  <c:v>5.3817884850959577E-2</c:v>
                </c:pt>
                <c:pt idx="23">
                  <c:v>5.536144110567591E-2</c:v>
                </c:pt>
                <c:pt idx="24">
                  <c:v>5.6439085731193134E-2</c:v>
                </c:pt>
                <c:pt idx="25">
                  <c:v>5.7949267595569849E-2</c:v>
                </c:pt>
                <c:pt idx="26">
                  <c:v>6.0043080236941306E-2</c:v>
                </c:pt>
                <c:pt idx="27">
                  <c:v>6.1829529939535791E-2</c:v>
                </c:pt>
                <c:pt idx="28">
                  <c:v>6.3326551373346904E-2</c:v>
                </c:pt>
                <c:pt idx="29">
                  <c:v>6.6843763513930926E-2</c:v>
                </c:pt>
                <c:pt idx="30">
                  <c:v>6.7497591522157993E-2</c:v>
                </c:pt>
                <c:pt idx="31">
                  <c:v>6.86956013785852E-2</c:v>
                </c:pt>
                <c:pt idx="32">
                  <c:v>7.2532500139485576E-2</c:v>
                </c:pt>
                <c:pt idx="33">
                  <c:v>7.4330966684871658E-2</c:v>
                </c:pt>
                <c:pt idx="34">
                  <c:v>7.6327315457750247E-2</c:v>
                </c:pt>
                <c:pt idx="35">
                  <c:v>7.7244913968934681E-2</c:v>
                </c:pt>
                <c:pt idx="36">
                  <c:v>7.8579446882334938E-2</c:v>
                </c:pt>
                <c:pt idx="37">
                  <c:v>8.0174488567990379E-2</c:v>
                </c:pt>
                <c:pt idx="38">
                  <c:v>8.1232356663097444E-2</c:v>
                </c:pt>
                <c:pt idx="39">
                  <c:v>8.2508250825082508E-2</c:v>
                </c:pt>
                <c:pt idx="40">
                  <c:v>8.3113580711998494E-2</c:v>
                </c:pt>
                <c:pt idx="41">
                  <c:v>8.3651251512049871E-2</c:v>
                </c:pt>
                <c:pt idx="42">
                  <c:v>8.3249703494206739E-2</c:v>
                </c:pt>
                <c:pt idx="43">
                  <c:v>8.3269842692600723E-2</c:v>
                </c:pt>
                <c:pt idx="44">
                  <c:v>8.293766607135078E-2</c:v>
                </c:pt>
                <c:pt idx="45">
                  <c:v>8.206465959630517E-2</c:v>
                </c:pt>
                <c:pt idx="46">
                  <c:v>8.2527130478674188E-2</c:v>
                </c:pt>
                <c:pt idx="47">
                  <c:v>8.239963616818953E-2</c:v>
                </c:pt>
                <c:pt idx="48">
                  <c:v>8.2061068702290074E-2</c:v>
                </c:pt>
                <c:pt idx="49">
                  <c:v>8.1789137380191695E-2</c:v>
                </c:pt>
                <c:pt idx="50">
                  <c:v>8.1145768993205677E-2</c:v>
                </c:pt>
                <c:pt idx="51">
                  <c:v>8.1058378832423353E-2</c:v>
                </c:pt>
                <c:pt idx="52">
                  <c:v>8.1372956236075975E-2</c:v>
                </c:pt>
                <c:pt idx="53">
                  <c:v>8.1478448596739375E-2</c:v>
                </c:pt>
                <c:pt idx="54">
                  <c:v>8.1955163542815138E-2</c:v>
                </c:pt>
                <c:pt idx="55">
                  <c:v>8.1611157520066827E-2</c:v>
                </c:pt>
                <c:pt idx="56">
                  <c:v>8.0529313944025752E-2</c:v>
                </c:pt>
                <c:pt idx="57">
                  <c:v>7.9870423908878746E-2</c:v>
                </c:pt>
                <c:pt idx="58">
                  <c:v>7.9595138912796501E-2</c:v>
                </c:pt>
                <c:pt idx="59">
                  <c:v>8.0161888242696322E-2</c:v>
                </c:pt>
                <c:pt idx="60">
                  <c:v>7.9739133357985673E-2</c:v>
                </c:pt>
                <c:pt idx="61">
                  <c:v>7.9696708827229984E-2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A-4447-8E6C-9BFE0112BFEB}"/>
            </c:ext>
          </c:extLst>
        </c:ser>
        <c:ser>
          <c:idx val="1"/>
          <c:order val="1"/>
          <c:tx>
            <c:strRef>
              <c:f>'Graph Data'!$B$64</c:f>
              <c:strCache>
                <c:ptCount val="1"/>
                <c:pt idx="0">
                  <c:v>Quebec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Data'!$C$62:$BL$62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Data'!$C$64:$BL$64</c:f>
              <c:numCache>
                <c:formatCode>0.0%</c:formatCode>
                <c:ptCount val="62"/>
                <c:pt idx="0">
                  <c:v>8.9064819396338438E-3</c:v>
                </c:pt>
                <c:pt idx="1">
                  <c:v>8.8070456365092076E-3</c:v>
                </c:pt>
                <c:pt idx="2">
                  <c:v>7.2886297376093291E-3</c:v>
                </c:pt>
                <c:pt idx="3">
                  <c:v>7.448342143200384E-3</c:v>
                </c:pt>
                <c:pt idx="4">
                  <c:v>7.1567989590110605E-3</c:v>
                </c:pt>
                <c:pt idx="5">
                  <c:v>6.5241029358463209E-3</c:v>
                </c:pt>
                <c:pt idx="6">
                  <c:v>9.9983609244386172E-3</c:v>
                </c:pt>
                <c:pt idx="7">
                  <c:v>1.0718879519794198E-2</c:v>
                </c:pt>
                <c:pt idx="8">
                  <c:v>1.4102564102564103E-2</c:v>
                </c:pt>
                <c:pt idx="9">
                  <c:v>1.6059957173447537E-2</c:v>
                </c:pt>
                <c:pt idx="10">
                  <c:v>1.7445917655268667E-2</c:v>
                </c:pt>
                <c:pt idx="11">
                  <c:v>1.9794721407624633E-2</c:v>
                </c:pt>
                <c:pt idx="12">
                  <c:v>2.0638862721589449E-2</c:v>
                </c:pt>
                <c:pt idx="13">
                  <c:v>2.3511226814188088E-2</c:v>
                </c:pt>
                <c:pt idx="14">
                  <c:v>2.6554547466253596E-2</c:v>
                </c:pt>
                <c:pt idx="15">
                  <c:v>3.0530600786075238E-2</c:v>
                </c:pt>
                <c:pt idx="16">
                  <c:v>3.2772543741588153E-2</c:v>
                </c:pt>
                <c:pt idx="17">
                  <c:v>3.973008765844737E-2</c:v>
                </c:pt>
                <c:pt idx="18">
                  <c:v>4.0979212579665254E-2</c:v>
                </c:pt>
                <c:pt idx="19">
                  <c:v>4.5944866160607271E-2</c:v>
                </c:pt>
                <c:pt idx="20">
                  <c:v>4.8605000258812571E-2</c:v>
                </c:pt>
                <c:pt idx="21">
                  <c:v>5.1724137931034482E-2</c:v>
                </c:pt>
                <c:pt idx="22">
                  <c:v>5.4090150250417364E-2</c:v>
                </c:pt>
                <c:pt idx="23">
                  <c:v>5.691913178862533E-2</c:v>
                </c:pt>
                <c:pt idx="24">
                  <c:v>5.9250088432967814E-2</c:v>
                </c:pt>
                <c:pt idx="25">
                  <c:v>6.2148106760648129E-2</c:v>
                </c:pt>
                <c:pt idx="26">
                  <c:v>6.4006084380754141E-2</c:v>
                </c:pt>
                <c:pt idx="27">
                  <c:v>6.5302636176573364E-2</c:v>
                </c:pt>
                <c:pt idx="28">
                  <c:v>6.6217943897119658E-2</c:v>
                </c:pt>
                <c:pt idx="29">
                  <c:v>6.7506717989686979E-2</c:v>
                </c:pt>
                <c:pt idx="30">
                  <c:v>7.0580843339849209E-2</c:v>
                </c:pt>
                <c:pt idx="31">
                  <c:v>7.2025896951712978E-2</c:v>
                </c:pt>
                <c:pt idx="32">
                  <c:v>6.9889341875364011E-2</c:v>
                </c:pt>
                <c:pt idx="33">
                  <c:v>7.1759882694436963E-2</c:v>
                </c:pt>
                <c:pt idx="34">
                  <c:v>7.3120284324292836E-2</c:v>
                </c:pt>
                <c:pt idx="35">
                  <c:v>7.4663715307338674E-2</c:v>
                </c:pt>
                <c:pt idx="36">
                  <c:v>7.1759882694436963E-2</c:v>
                </c:pt>
                <c:pt idx="37">
                  <c:v>7.5325798950954412E-2</c:v>
                </c:pt>
                <c:pt idx="38">
                  <c:v>7.8322805375757101E-2</c:v>
                </c:pt>
                <c:pt idx="39">
                  <c:v>7.9821542383683872E-2</c:v>
                </c:pt>
                <c:pt idx="40">
                  <c:v>8.0639102451729228E-2</c:v>
                </c:pt>
                <c:pt idx="41">
                  <c:v>8.211021538310749E-2</c:v>
                </c:pt>
                <c:pt idx="42">
                  <c:v>8.2110091743119271E-2</c:v>
                </c:pt>
                <c:pt idx="43">
                  <c:v>8.2568807339449546E-2</c:v>
                </c:pt>
                <c:pt idx="44">
                  <c:v>8.2426020583583559E-2</c:v>
                </c:pt>
                <c:pt idx="45">
                  <c:v>8.2516912912641127E-2</c:v>
                </c:pt>
                <c:pt idx="46">
                  <c:v>8.3037409268565052E-2</c:v>
                </c:pt>
                <c:pt idx="47">
                  <c:v>8.3525662160677E-2</c:v>
                </c:pt>
                <c:pt idx="48">
                  <c:v>8.3764981253115448E-2</c:v>
                </c:pt>
                <c:pt idx="49">
                  <c:v>8.4119731841667017E-2</c:v>
                </c:pt>
                <c:pt idx="50">
                  <c:v>8.479909969989996E-2</c:v>
                </c:pt>
                <c:pt idx="51">
                  <c:v>8.516811391415284E-2</c:v>
                </c:pt>
                <c:pt idx="52">
                  <c:v>8.6041636988949718E-2</c:v>
                </c:pt>
                <c:pt idx="53">
                  <c:v>8.6555873003098471E-2</c:v>
                </c:pt>
                <c:pt idx="54">
                  <c:v>8.6856983596114032E-2</c:v>
                </c:pt>
                <c:pt idx="55">
                  <c:v>8.7638940988331915E-2</c:v>
                </c:pt>
                <c:pt idx="56">
                  <c:v>9.0762160688553958E-2</c:v>
                </c:pt>
                <c:pt idx="57">
                  <c:v>9.1349601690151772E-2</c:v>
                </c:pt>
                <c:pt idx="58">
                  <c:v>9.2398427260812585E-2</c:v>
                </c:pt>
                <c:pt idx="59">
                  <c:v>9.3684674836507303E-2</c:v>
                </c:pt>
                <c:pt idx="60">
                  <c:v>9.4182984083361954E-2</c:v>
                </c:pt>
                <c:pt idx="61">
                  <c:v>9.4443599878382481E-2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A-4447-8E6C-9BFE0112BFEB}"/>
            </c:ext>
          </c:extLst>
        </c:ser>
        <c:ser>
          <c:idx val="2"/>
          <c:order val="2"/>
          <c:tx>
            <c:strRef>
              <c:f>'Graph Data'!$B$65</c:f>
              <c:strCache>
                <c:ptCount val="1"/>
                <c:pt idx="0">
                  <c:v>BC</c:v>
                </c:pt>
              </c:strCache>
            </c:strRef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Data'!$C$62:$BL$62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Data'!$C$65:$BL$65</c:f>
              <c:numCache>
                <c:formatCode>0.0%</c:formatCode>
                <c:ptCount val="62"/>
                <c:pt idx="0">
                  <c:v>2.0202020202020204E-2</c:v>
                </c:pt>
                <c:pt idx="1">
                  <c:v>1.9230769230769232E-2</c:v>
                </c:pt>
                <c:pt idx="2">
                  <c:v>1.9587628865979381E-2</c:v>
                </c:pt>
                <c:pt idx="3">
                  <c:v>2.3692003948667325E-2</c:v>
                </c:pt>
                <c:pt idx="4">
                  <c:v>2.3452157598499061E-2</c:v>
                </c:pt>
                <c:pt idx="5">
                  <c:v>2.7653880463871544E-2</c:v>
                </c:pt>
                <c:pt idx="6">
                  <c:v>2.9812606473594547E-2</c:v>
                </c:pt>
                <c:pt idx="7">
                  <c:v>3.1587697423108893E-2</c:v>
                </c:pt>
                <c:pt idx="8">
                  <c:v>3.0805687203791468E-2</c:v>
                </c:pt>
                <c:pt idx="9">
                  <c:v>3.3307513555383424E-2</c:v>
                </c:pt>
                <c:pt idx="10">
                  <c:v>3.5928143712574849E-2</c:v>
                </c:pt>
                <c:pt idx="11">
                  <c:v>3.6337209302325583E-2</c:v>
                </c:pt>
                <c:pt idx="12">
                  <c:v>3.9007092198581561E-2</c:v>
                </c:pt>
                <c:pt idx="13">
                  <c:v>4.0138408304498267E-2</c:v>
                </c:pt>
                <c:pt idx="14">
                  <c:v>4.6308724832214765E-2</c:v>
                </c:pt>
                <c:pt idx="15">
                  <c:v>4.7462096242584045E-2</c:v>
                </c:pt>
                <c:pt idx="16">
                  <c:v>4.8046124279308135E-2</c:v>
                </c:pt>
                <c:pt idx="17">
                  <c:v>4.9523809523809526E-2</c:v>
                </c:pt>
                <c:pt idx="18">
                  <c:v>4.8207663782447466E-2</c:v>
                </c:pt>
                <c:pt idx="19">
                  <c:v>4.9180327868852458E-2</c:v>
                </c:pt>
                <c:pt idx="20">
                  <c:v>5.0618010594467334E-2</c:v>
                </c:pt>
                <c:pt idx="21">
                  <c:v>5.0464037122969839E-2</c:v>
                </c:pt>
                <c:pt idx="22">
                  <c:v>5.0139275766016712E-2</c:v>
                </c:pt>
                <c:pt idx="23">
                  <c:v>5.1535087719298246E-2</c:v>
                </c:pt>
                <c:pt idx="24">
                  <c:v>5.2887209929843498E-2</c:v>
                </c:pt>
                <c:pt idx="25">
                  <c:v>5.1334702258726897E-2</c:v>
                </c:pt>
                <c:pt idx="26">
                  <c:v>5.1551551551551549E-2</c:v>
                </c:pt>
                <c:pt idx="27">
                  <c:v>5.1144666341938629E-2</c:v>
                </c:pt>
                <c:pt idx="28">
                  <c:v>5.2228078581696216E-2</c:v>
                </c:pt>
                <c:pt idx="29">
                  <c:v>5.2556818181818184E-2</c:v>
                </c:pt>
                <c:pt idx="30">
                  <c:v>5.2556818181818184E-2</c:v>
                </c:pt>
                <c:pt idx="31">
                  <c:v>5.2214452214452214E-2</c:v>
                </c:pt>
                <c:pt idx="32">
                  <c:v>5.2607913669064747E-2</c:v>
                </c:pt>
                <c:pt idx="33">
                  <c:v>5.4211469534050177E-2</c:v>
                </c:pt>
                <c:pt idx="34">
                  <c:v>5.4988913525498895E-2</c:v>
                </c:pt>
                <c:pt idx="35">
                  <c:v>5.5069930069930072E-2</c:v>
                </c:pt>
                <c:pt idx="36">
                  <c:v>5.4211469534050177E-2</c:v>
                </c:pt>
                <c:pt idx="37">
                  <c:v>5.536480686695279E-2</c:v>
                </c:pt>
                <c:pt idx="38">
                  <c:v>5.5248618784530384E-2</c:v>
                </c:pt>
                <c:pt idx="39">
                  <c:v>5.5508474576271186E-2</c:v>
                </c:pt>
                <c:pt idx="40">
                  <c:v>5.5555555555555552E-2</c:v>
                </c:pt>
                <c:pt idx="41">
                  <c:v>5.6438127090301E-2</c:v>
                </c:pt>
                <c:pt idx="42">
                  <c:v>5.8163689239717493E-2</c:v>
                </c:pt>
                <c:pt idx="43">
                  <c:v>5.8072487644151564E-2</c:v>
                </c:pt>
                <c:pt idx="44">
                  <c:v>5.8510638297872342E-2</c:v>
                </c:pt>
                <c:pt idx="45">
                  <c:v>5.9689288634505316E-2</c:v>
                </c:pt>
                <c:pt idx="46">
                  <c:v>6.0397243615727604E-2</c:v>
                </c:pt>
                <c:pt idx="47">
                  <c:v>6.1315046389673257E-2</c:v>
                </c:pt>
                <c:pt idx="48">
                  <c:v>6.1826884722776226E-2</c:v>
                </c:pt>
                <c:pt idx="49">
                  <c:v>6.237584425903854E-2</c:v>
                </c:pt>
                <c:pt idx="50">
                  <c:v>6.3661526294978246E-2</c:v>
                </c:pt>
                <c:pt idx="51">
                  <c:v>6.3360881542699726E-2</c:v>
                </c:pt>
                <c:pt idx="52">
                  <c:v>6.3529411764705876E-2</c:v>
                </c:pt>
                <c:pt idx="53">
                  <c:v>6.4112587959343242E-2</c:v>
                </c:pt>
                <c:pt idx="54">
                  <c:v>6.401249024199844E-2</c:v>
                </c:pt>
                <c:pt idx="55">
                  <c:v>6.3738826272833268E-2</c:v>
                </c:pt>
                <c:pt idx="56">
                  <c:v>6.3534847901424718E-2</c:v>
                </c:pt>
                <c:pt idx="57">
                  <c:v>6.3437139561707032E-2</c:v>
                </c:pt>
                <c:pt idx="58">
                  <c:v>6.328631338162409E-2</c:v>
                </c:pt>
                <c:pt idx="59">
                  <c:v>6.3069908814589667E-2</c:v>
                </c:pt>
                <c:pt idx="60">
                  <c:v>6.3449848024316108E-2</c:v>
                </c:pt>
                <c:pt idx="61">
                  <c:v>6.3449848024316108E-2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A-4447-8E6C-9BFE0112BFEB}"/>
            </c:ext>
          </c:extLst>
        </c:ser>
        <c:ser>
          <c:idx val="3"/>
          <c:order val="3"/>
          <c:tx>
            <c:strRef>
              <c:f>'Graph Data'!$B$66</c:f>
              <c:strCache>
                <c:ptCount val="1"/>
                <c:pt idx="0">
                  <c:v>Alberta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Data'!$C$62:$BL$62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Data'!$C$66:$BL$66</c:f>
              <c:numCache>
                <c:formatCode>0.0%</c:formatCode>
                <c:ptCount val="62"/>
                <c:pt idx="0">
                  <c:v>3.6900369003690036E-3</c:v>
                </c:pt>
                <c:pt idx="1">
                  <c:v>3.2206119162640902E-3</c:v>
                </c:pt>
                <c:pt idx="2">
                  <c:v>1.1594202898550725E-2</c:v>
                </c:pt>
                <c:pt idx="3">
                  <c:v>1.1936339522546418E-2</c:v>
                </c:pt>
                <c:pt idx="4">
                  <c:v>1.2629161882893225E-2</c:v>
                </c:pt>
                <c:pt idx="5">
                  <c:v>1.3429752066115703E-2</c:v>
                </c:pt>
                <c:pt idx="6">
                  <c:v>1.3184584178498986E-2</c:v>
                </c:pt>
                <c:pt idx="7">
                  <c:v>1.6934801016088061E-2</c:v>
                </c:pt>
                <c:pt idx="8">
                  <c:v>1.84E-2</c:v>
                </c:pt>
                <c:pt idx="9">
                  <c:v>1.8936635105608158E-2</c:v>
                </c:pt>
                <c:pt idx="10">
                  <c:v>2.0379479971890373E-2</c:v>
                </c:pt>
                <c:pt idx="11">
                  <c:v>2.2053756030323914E-2</c:v>
                </c:pt>
                <c:pt idx="12">
                  <c:v>2.5999999999999999E-2</c:v>
                </c:pt>
                <c:pt idx="13">
                  <c:v>2.4856596558317401E-2</c:v>
                </c:pt>
                <c:pt idx="14">
                  <c:v>2.6558891454965358E-2</c:v>
                </c:pt>
                <c:pt idx="15">
                  <c:v>2.5668449197860963E-2</c:v>
                </c:pt>
                <c:pt idx="16">
                  <c:v>2.4048096192384769E-2</c:v>
                </c:pt>
                <c:pt idx="17">
                  <c:v>2.3169601482854494E-2</c:v>
                </c:pt>
                <c:pt idx="18">
                  <c:v>2.0859407592824362E-2</c:v>
                </c:pt>
                <c:pt idx="19">
                  <c:v>1.9906323185011711E-2</c:v>
                </c:pt>
                <c:pt idx="20">
                  <c:v>2.02888583218707E-2</c:v>
                </c:pt>
                <c:pt idx="21">
                  <c:v>1.9709208400646203E-2</c:v>
                </c:pt>
                <c:pt idx="22">
                  <c:v>1.9406057042046457E-2</c:v>
                </c:pt>
                <c:pt idx="23">
                  <c:v>1.8010752688172042E-2</c:v>
                </c:pt>
                <c:pt idx="24">
                  <c:v>1.7923823749066467E-2</c:v>
                </c:pt>
                <c:pt idx="25">
                  <c:v>1.7286289367748047E-2</c:v>
                </c:pt>
                <c:pt idx="26">
                  <c:v>1.5971039182282792E-2</c:v>
                </c:pt>
                <c:pt idx="27">
                  <c:v>1.6494845360824743E-2</c:v>
                </c:pt>
                <c:pt idx="28">
                  <c:v>1.6844143272023233E-2</c:v>
                </c:pt>
                <c:pt idx="29">
                  <c:v>1.6619981325863679E-2</c:v>
                </c:pt>
                <c:pt idx="30">
                  <c:v>1.6508164363897362E-2</c:v>
                </c:pt>
                <c:pt idx="31">
                  <c:v>1.6578483245149912E-2</c:v>
                </c:pt>
                <c:pt idx="32">
                  <c:v>1.7738359201773836E-2</c:v>
                </c:pt>
                <c:pt idx="33">
                  <c:v>1.7987442728661124E-2</c:v>
                </c:pt>
                <c:pt idx="34">
                  <c:v>1.8782492034210969E-2</c:v>
                </c:pt>
                <c:pt idx="35">
                  <c:v>1.8946318763503407E-2</c:v>
                </c:pt>
                <c:pt idx="36">
                  <c:v>1.7987442728661124E-2</c:v>
                </c:pt>
                <c:pt idx="37">
                  <c:v>1.8840344323534187E-2</c:v>
                </c:pt>
                <c:pt idx="38">
                  <c:v>1.8571428571428572E-2</c:v>
                </c:pt>
                <c:pt idx="39">
                  <c:v>1.8597320724980299E-2</c:v>
                </c:pt>
                <c:pt idx="40">
                  <c:v>1.8729514593413453E-2</c:v>
                </c:pt>
                <c:pt idx="41">
                  <c:v>1.8739352640545145E-2</c:v>
                </c:pt>
                <c:pt idx="42">
                  <c:v>1.9186492709132769E-2</c:v>
                </c:pt>
                <c:pt idx="43">
                  <c:v>1.9128586609989374E-2</c:v>
                </c:pt>
                <c:pt idx="44">
                  <c:v>1.9153074966332485E-2</c:v>
                </c:pt>
                <c:pt idx="45">
                  <c:v>1.9058963668850508E-2</c:v>
                </c:pt>
                <c:pt idx="46">
                  <c:v>1.9005196733481812E-2</c:v>
                </c:pt>
                <c:pt idx="47">
                  <c:v>1.9503546099290781E-2</c:v>
                </c:pt>
                <c:pt idx="48">
                  <c:v>1.9705882352941177E-2</c:v>
                </c:pt>
                <c:pt idx="49">
                  <c:v>1.9800528014080377E-2</c:v>
                </c:pt>
                <c:pt idx="50">
                  <c:v>2.006105538595726E-2</c:v>
                </c:pt>
                <c:pt idx="51">
                  <c:v>2.0142008404579047E-2</c:v>
                </c:pt>
                <c:pt idx="52">
                  <c:v>2.0358071036673406E-2</c:v>
                </c:pt>
                <c:pt idx="53">
                  <c:v>2.0560747663551402E-2</c:v>
                </c:pt>
                <c:pt idx="54">
                  <c:v>2.0490041553231121E-2</c:v>
                </c:pt>
                <c:pt idx="55">
                  <c:v>2.0451945080091533E-2</c:v>
                </c:pt>
                <c:pt idx="56">
                  <c:v>2.0300965360590572E-2</c:v>
                </c:pt>
                <c:pt idx="57">
                  <c:v>2.0263568088422841E-2</c:v>
                </c:pt>
                <c:pt idx="58">
                  <c:v>2.0491803278688523E-2</c:v>
                </c:pt>
                <c:pt idx="59">
                  <c:v>2.0589479622056126E-2</c:v>
                </c:pt>
                <c:pt idx="60">
                  <c:v>2.056917441532826E-2</c:v>
                </c:pt>
                <c:pt idx="61">
                  <c:v>2.0453908657887362E-2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EA-4447-8E6C-9BFE0112BFEB}"/>
            </c:ext>
          </c:extLst>
        </c:ser>
        <c:ser>
          <c:idx val="4"/>
          <c:order val="4"/>
          <c:tx>
            <c:strRef>
              <c:f>'Graph Data'!$B$67</c:f>
              <c:strCache>
                <c:ptCount val="1"/>
                <c:pt idx="0">
                  <c:v>Manitoba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Data'!$C$62:$BL$62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Data'!$C$67:$BL$67</c:f>
              <c:numCache>
                <c:formatCode>0.0%</c:formatCode>
                <c:ptCount val="62"/>
                <c:pt idx="0">
                  <c:v>2.564102564102564E-2</c:v>
                </c:pt>
                <c:pt idx="1">
                  <c:v>1.5625E-2</c:v>
                </c:pt>
                <c:pt idx="2">
                  <c:v>1.0416666666666666E-2</c:v>
                </c:pt>
                <c:pt idx="3">
                  <c:v>9.7087378640776691E-3</c:v>
                </c:pt>
                <c:pt idx="4">
                  <c:v>7.874015748031496E-3</c:v>
                </c:pt>
                <c:pt idx="5">
                  <c:v>5.9880239520958087E-3</c:v>
                </c:pt>
                <c:pt idx="6">
                  <c:v>1.098901098901099E-2</c:v>
                </c:pt>
                <c:pt idx="7">
                  <c:v>1.0309278350515464E-2</c:v>
                </c:pt>
                <c:pt idx="8">
                  <c:v>9.8039215686274508E-3</c:v>
                </c:pt>
                <c:pt idx="9">
                  <c:v>1.3824884792626729E-2</c:v>
                </c:pt>
                <c:pt idx="10">
                  <c:v>1.3574660633484163E-2</c:v>
                </c:pt>
                <c:pt idx="11">
                  <c:v>1.3392857142857142E-2</c:v>
                </c:pt>
                <c:pt idx="12">
                  <c:v>1.7391304347826087E-2</c:v>
                </c:pt>
                <c:pt idx="13">
                  <c:v>1.646090534979424E-2</c:v>
                </c:pt>
                <c:pt idx="14">
                  <c:v>1.6260162601626018E-2</c:v>
                </c:pt>
                <c:pt idx="15">
                  <c:v>1.6260162601626018E-2</c:v>
                </c:pt>
                <c:pt idx="16">
                  <c:v>2.032520325203252E-2</c:v>
                </c:pt>
                <c:pt idx="17">
                  <c:v>0.02</c:v>
                </c:pt>
                <c:pt idx="18">
                  <c:v>0.02</c:v>
                </c:pt>
                <c:pt idx="19">
                  <c:v>1.9762845849802372E-2</c:v>
                </c:pt>
                <c:pt idx="20">
                  <c:v>2.3622047244094488E-2</c:v>
                </c:pt>
                <c:pt idx="21">
                  <c:v>2.3529411764705882E-2</c:v>
                </c:pt>
                <c:pt idx="22">
                  <c:v>2.3346303501945526E-2</c:v>
                </c:pt>
                <c:pt idx="23">
                  <c:v>2.2900763358778626E-2</c:v>
                </c:pt>
                <c:pt idx="24">
                  <c:v>2.2813688212927757E-2</c:v>
                </c:pt>
                <c:pt idx="25">
                  <c:v>2.247191011235955E-2</c:v>
                </c:pt>
                <c:pt idx="26">
                  <c:v>2.2058823529411766E-2</c:v>
                </c:pt>
                <c:pt idx="27">
                  <c:v>2.2058823529411766E-2</c:v>
                </c:pt>
                <c:pt idx="28">
                  <c:v>2.197802197802198E-2</c:v>
                </c:pt>
                <c:pt idx="29">
                  <c:v>2.181818181818182E-2</c:v>
                </c:pt>
                <c:pt idx="30">
                  <c:v>2.1505376344086023E-2</c:v>
                </c:pt>
                <c:pt idx="31">
                  <c:v>2.1428571428571429E-2</c:v>
                </c:pt>
                <c:pt idx="32">
                  <c:v>2.1352313167259787E-2</c:v>
                </c:pt>
                <c:pt idx="33">
                  <c:v>2.4822695035460994E-2</c:v>
                </c:pt>
                <c:pt idx="34">
                  <c:v>2.4734982332155476E-2</c:v>
                </c:pt>
                <c:pt idx="35">
                  <c:v>2.464788732394366E-2</c:v>
                </c:pt>
                <c:pt idx="36">
                  <c:v>2.4822695035460994E-2</c:v>
                </c:pt>
                <c:pt idx="37">
                  <c:v>2.464788732394366E-2</c:v>
                </c:pt>
                <c:pt idx="38">
                  <c:v>2.4221453287197232E-2</c:v>
                </c:pt>
                <c:pt idx="39">
                  <c:v>2.4137931034482758E-2</c:v>
                </c:pt>
                <c:pt idx="40">
                  <c:v>2.4137931034482758E-2</c:v>
                </c:pt>
                <c:pt idx="41">
                  <c:v>2.4221453287197232E-2</c:v>
                </c:pt>
                <c:pt idx="42">
                  <c:v>2.4221453287197232E-2</c:v>
                </c:pt>
                <c:pt idx="43">
                  <c:v>2.4221453287197232E-2</c:v>
                </c:pt>
                <c:pt idx="44">
                  <c:v>2.4137931034482758E-2</c:v>
                </c:pt>
                <c:pt idx="45">
                  <c:v>2.4137931034482758E-2</c:v>
                </c:pt>
                <c:pt idx="46">
                  <c:v>2.4137931034482758E-2</c:v>
                </c:pt>
                <c:pt idx="47">
                  <c:v>2.4137931034482758E-2</c:v>
                </c:pt>
                <c:pt idx="48">
                  <c:v>2.3972602739726026E-2</c:v>
                </c:pt>
                <c:pt idx="49">
                  <c:v>2.3972602739726026E-2</c:v>
                </c:pt>
                <c:pt idx="50">
                  <c:v>2.3972602739726026E-2</c:v>
                </c:pt>
                <c:pt idx="51">
                  <c:v>2.3972602739726026E-2</c:v>
                </c:pt>
                <c:pt idx="52">
                  <c:v>2.3972602739726026E-2</c:v>
                </c:pt>
                <c:pt idx="53">
                  <c:v>2.3809523809523808E-2</c:v>
                </c:pt>
                <c:pt idx="54">
                  <c:v>2.3809523809523808E-2</c:v>
                </c:pt>
                <c:pt idx="55">
                  <c:v>2.3809523809523808E-2</c:v>
                </c:pt>
                <c:pt idx="56">
                  <c:v>2.3728813559322035E-2</c:v>
                </c:pt>
                <c:pt idx="57">
                  <c:v>2.3569023569023569E-2</c:v>
                </c:pt>
                <c:pt idx="58">
                  <c:v>2.3489932885906041E-2</c:v>
                </c:pt>
                <c:pt idx="59">
                  <c:v>2.3489932885906041E-2</c:v>
                </c:pt>
                <c:pt idx="60">
                  <c:v>2.3333333333333334E-2</c:v>
                </c:pt>
                <c:pt idx="61">
                  <c:v>2.3333333333333334E-2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EA-4447-8E6C-9BFE0112BFEB}"/>
            </c:ext>
          </c:extLst>
        </c:ser>
        <c:ser>
          <c:idx val="5"/>
          <c:order val="5"/>
          <c:tx>
            <c:strRef>
              <c:f>'Graph Data'!$B$68</c:f>
              <c:strCache>
                <c:ptCount val="1"/>
                <c:pt idx="0">
                  <c:v>Sask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Data'!$C$62:$BL$62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Data'!$C$68:$BL$68</c:f>
              <c:numCache>
                <c:formatCode>0.0%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1.1363636363636364E-2</c:v>
                </c:pt>
                <c:pt idx="3">
                  <c:v>1.0869565217391304E-2</c:v>
                </c:pt>
                <c:pt idx="4">
                  <c:v>1.5544041450777202E-2</c:v>
                </c:pt>
                <c:pt idx="5">
                  <c:v>1.4563106796116505E-2</c:v>
                </c:pt>
                <c:pt idx="6">
                  <c:v>1.3636363636363636E-2</c:v>
                </c:pt>
                <c:pt idx="7">
                  <c:v>1.2987012987012988E-2</c:v>
                </c:pt>
                <c:pt idx="8">
                  <c:v>1.1857707509881422E-2</c:v>
                </c:pt>
                <c:pt idx="9">
                  <c:v>1.1538461538461539E-2</c:v>
                </c:pt>
                <c:pt idx="10">
                  <c:v>1.107011070110701E-2</c:v>
                </c:pt>
                <c:pt idx="11">
                  <c:v>1.0791366906474821E-2</c:v>
                </c:pt>
                <c:pt idx="12">
                  <c:v>1.0526315789473684E-2</c:v>
                </c:pt>
                <c:pt idx="13">
                  <c:v>1.384083044982699E-2</c:v>
                </c:pt>
                <c:pt idx="14">
                  <c:v>1.3333333333333334E-2</c:v>
                </c:pt>
                <c:pt idx="15">
                  <c:v>1.3289036544850499E-2</c:v>
                </c:pt>
                <c:pt idx="16">
                  <c:v>1.3157894736842105E-2</c:v>
                </c:pt>
                <c:pt idx="17">
                  <c:v>1.3114754098360656E-2</c:v>
                </c:pt>
                <c:pt idx="18">
                  <c:v>1.3029315960912053E-2</c:v>
                </c:pt>
                <c:pt idx="19">
                  <c:v>1.2779552715654952E-2</c:v>
                </c:pt>
                <c:pt idx="20">
                  <c:v>1.2658227848101266E-2</c:v>
                </c:pt>
                <c:pt idx="21">
                  <c:v>1.2500000000000001E-2</c:v>
                </c:pt>
                <c:pt idx="22">
                  <c:v>1.2269938650306749E-2</c:v>
                </c:pt>
                <c:pt idx="23">
                  <c:v>1.2084592145015106E-2</c:v>
                </c:pt>
                <c:pt idx="24">
                  <c:v>1.1730205278592375E-2</c:v>
                </c:pt>
                <c:pt idx="25">
                  <c:v>1.1461318051575931E-2</c:v>
                </c:pt>
                <c:pt idx="26">
                  <c:v>1.3698630136986301E-2</c:v>
                </c:pt>
                <c:pt idx="27">
                  <c:v>1.3661202185792349E-2</c:v>
                </c:pt>
                <c:pt idx="28">
                  <c:v>1.5665796344647518E-2</c:v>
                </c:pt>
                <c:pt idx="29">
                  <c:v>1.5424164524421594E-2</c:v>
                </c:pt>
                <c:pt idx="30">
                  <c:v>1.4457831325301205E-2</c:v>
                </c:pt>
                <c:pt idx="31">
                  <c:v>1.4251781472684086E-2</c:v>
                </c:pt>
                <c:pt idx="32">
                  <c:v>1.284796573875803E-2</c:v>
                </c:pt>
                <c:pt idx="33">
                  <c:v>1.2320328542094456E-2</c:v>
                </c:pt>
                <c:pt idx="34">
                  <c:v>1.171875E-2</c:v>
                </c:pt>
                <c:pt idx="35">
                  <c:v>1.1299435028248588E-2</c:v>
                </c:pt>
                <c:pt idx="36">
                  <c:v>1.2320328542094456E-2</c:v>
                </c:pt>
                <c:pt idx="37">
                  <c:v>1.0849909584086799E-2</c:v>
                </c:pt>
                <c:pt idx="38">
                  <c:v>1.0563380281690141E-2</c:v>
                </c:pt>
                <c:pt idx="39">
                  <c:v>1.0471204188481676E-2</c:v>
                </c:pt>
                <c:pt idx="40">
                  <c:v>1.0398613518197574E-2</c:v>
                </c:pt>
                <c:pt idx="41">
                  <c:v>1.0309278350515464E-2</c:v>
                </c:pt>
                <c:pt idx="42">
                  <c:v>1.0169491525423728E-2</c:v>
                </c:pt>
                <c:pt idx="43">
                  <c:v>1.015228426395939E-2</c:v>
                </c:pt>
                <c:pt idx="44">
                  <c:v>1.0135135135135136E-2</c:v>
                </c:pt>
                <c:pt idx="45">
                  <c:v>1.001669449081803E-2</c:v>
                </c:pt>
                <c:pt idx="46">
                  <c:v>1.1290322580645161E-2</c:v>
                </c:pt>
                <c:pt idx="47">
                  <c:v>1.1254019292604502E-2</c:v>
                </c:pt>
                <c:pt idx="48">
                  <c:v>1.1164274322169059E-2</c:v>
                </c:pt>
                <c:pt idx="49">
                  <c:v>1.1111111111111112E-2</c:v>
                </c:pt>
                <c:pt idx="50">
                  <c:v>1.1041009463722398E-2</c:v>
                </c:pt>
                <c:pt idx="51">
                  <c:v>1.2618296529968454E-2</c:v>
                </c:pt>
                <c:pt idx="52">
                  <c:v>1.5698587127158554E-2</c:v>
                </c:pt>
                <c:pt idx="53">
                  <c:v>1.5649452269170579E-2</c:v>
                </c:pt>
                <c:pt idx="54">
                  <c:v>1.5600624024960999E-2</c:v>
                </c:pt>
                <c:pt idx="55">
                  <c:v>1.5503875968992248E-2</c:v>
                </c:pt>
                <c:pt idx="56">
                  <c:v>1.7027863777089782E-2</c:v>
                </c:pt>
                <c:pt idx="57">
                  <c:v>1.7027863777089782E-2</c:v>
                </c:pt>
                <c:pt idx="58">
                  <c:v>1.7001545595054096E-2</c:v>
                </c:pt>
                <c:pt idx="59">
                  <c:v>1.6975308641975308E-2</c:v>
                </c:pt>
                <c:pt idx="60">
                  <c:v>1.6949152542372881E-2</c:v>
                </c:pt>
                <c:pt idx="61">
                  <c:v>1.6923076923076923E-2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EA-4447-8E6C-9BFE0112BFEB}"/>
            </c:ext>
          </c:extLst>
        </c:ser>
        <c:ser>
          <c:idx val="6"/>
          <c:order val="6"/>
          <c:tx>
            <c:strRef>
              <c:f>'Graph Data'!$B$69</c:f>
              <c:strCache>
                <c:ptCount val="1"/>
                <c:pt idx="0">
                  <c:v>Maritimes</c:v>
                </c:pt>
              </c:strCache>
            </c:strRef>
          </c:tx>
          <c:spPr>
            <a:ln w="381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Data'!$C$62:$BL$62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Data'!$C$69:$BL$69</c:f>
              <c:numCache>
                <c:formatCode>0.0%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9.2297752549725407E-4</c:v>
                </c:pt>
                <c:pt idx="10">
                  <c:v>8.366170552752888E-4</c:v>
                </c:pt>
                <c:pt idx="11">
                  <c:v>1.5341717581991892E-3</c:v>
                </c:pt>
                <c:pt idx="12">
                  <c:v>1.4060099897009767E-3</c:v>
                </c:pt>
                <c:pt idx="13">
                  <c:v>1.3370235182436857E-3</c:v>
                </c:pt>
                <c:pt idx="14">
                  <c:v>1.8109052715452453E-3</c:v>
                </c:pt>
                <c:pt idx="15">
                  <c:v>1.6602883920937067E-3</c:v>
                </c:pt>
                <c:pt idx="16">
                  <c:v>1.5635138410062775E-3</c:v>
                </c:pt>
                <c:pt idx="17">
                  <c:v>1.4825027611613927E-3</c:v>
                </c:pt>
                <c:pt idx="18">
                  <c:v>1.8886008772551074E-3</c:v>
                </c:pt>
                <c:pt idx="19">
                  <c:v>3.0860727740046863E-3</c:v>
                </c:pt>
                <c:pt idx="20">
                  <c:v>3.571577387153036E-3</c:v>
                </c:pt>
                <c:pt idx="21">
                  <c:v>3.8822663894728464E-3</c:v>
                </c:pt>
                <c:pt idx="22">
                  <c:v>4.4475082834841782E-3</c:v>
                </c:pt>
                <c:pt idx="23">
                  <c:v>5.5356330428855864E-3</c:v>
                </c:pt>
                <c:pt idx="24">
                  <c:v>5.3858453252545648E-3</c:v>
                </c:pt>
                <c:pt idx="25">
                  <c:v>7.2771175998743044E-3</c:v>
                </c:pt>
                <c:pt idx="26">
                  <c:v>7.6299475441106348E-3</c:v>
                </c:pt>
                <c:pt idx="27">
                  <c:v>8.4429747414338993E-3</c:v>
                </c:pt>
                <c:pt idx="28">
                  <c:v>8.5683902901777173E-3</c:v>
                </c:pt>
                <c:pt idx="29">
                  <c:v>8.4598151228259411E-3</c:v>
                </c:pt>
                <c:pt idx="30">
                  <c:v>8.6523127781233736E-3</c:v>
                </c:pt>
                <c:pt idx="31">
                  <c:v>9.2106064590120589E-3</c:v>
                </c:pt>
                <c:pt idx="32">
                  <c:v>1.1038248985134674E-2</c:v>
                </c:pt>
                <c:pt idx="33">
                  <c:v>1.1837582592401714E-2</c:v>
                </c:pt>
                <c:pt idx="34">
                  <c:v>1.1754553455982064E-2</c:v>
                </c:pt>
                <c:pt idx="35">
                  <c:v>1.2501900146755259E-2</c:v>
                </c:pt>
                <c:pt idx="36">
                  <c:v>1.3057201898403615E-2</c:v>
                </c:pt>
                <c:pt idx="37">
                  <c:v>1.3301466415919873E-2</c:v>
                </c:pt>
                <c:pt idx="38">
                  <c:v>1.3477826868890227E-2</c:v>
                </c:pt>
                <c:pt idx="39">
                  <c:v>1.3464613313136413E-2</c:v>
                </c:pt>
                <c:pt idx="40">
                  <c:v>1.4250268240343348E-2</c:v>
                </c:pt>
                <c:pt idx="41">
                  <c:v>1.422248993967991E-2</c:v>
                </c:pt>
                <c:pt idx="42">
                  <c:v>1.5219310260858978E-2</c:v>
                </c:pt>
                <c:pt idx="43">
                  <c:v>1.5175281398002106E-2</c:v>
                </c:pt>
                <c:pt idx="44">
                  <c:v>1.5087983518435457E-2</c:v>
                </c:pt>
                <c:pt idx="45">
                  <c:v>1.5347595634705299E-2</c:v>
                </c:pt>
                <c:pt idx="46">
                  <c:v>1.5606710885680842E-2</c:v>
                </c:pt>
                <c:pt idx="47">
                  <c:v>1.5865330696405954E-2</c:v>
                </c:pt>
                <c:pt idx="48">
                  <c:v>1.5835053347748693E-2</c:v>
                </c:pt>
                <c:pt idx="49">
                  <c:v>1.5819957968008228E-2</c:v>
                </c:pt>
                <c:pt idx="50">
                  <c:v>1.5789853385766536E-2</c:v>
                </c:pt>
                <c:pt idx="51">
                  <c:v>1.6046824088730777E-2</c:v>
                </c:pt>
                <c:pt idx="52">
                  <c:v>1.6031584939548697E-2</c:v>
                </c:pt>
                <c:pt idx="53">
                  <c:v>1.6001193309331543E-2</c:v>
                </c:pt>
                <c:pt idx="54">
                  <c:v>1.6001193309331543E-2</c:v>
                </c:pt>
                <c:pt idx="55">
                  <c:v>1.6256990505917543E-2</c:v>
                </c:pt>
                <c:pt idx="56">
                  <c:v>1.6241610193234557E-2</c:v>
                </c:pt>
                <c:pt idx="57">
                  <c:v>1.6241610193234557E-2</c:v>
                </c:pt>
                <c:pt idx="58">
                  <c:v>1.6226258954866662E-2</c:v>
                </c:pt>
                <c:pt idx="59">
                  <c:v>1.8600542434292003E-2</c:v>
                </c:pt>
                <c:pt idx="60">
                  <c:v>1.8600542434292003E-2</c:v>
                </c:pt>
                <c:pt idx="61">
                  <c:v>1.856941659164273E-2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EA-4447-8E6C-9BFE0112BFEB}"/>
            </c:ext>
          </c:extLst>
        </c:ser>
        <c:ser>
          <c:idx val="9"/>
          <c:order val="7"/>
          <c:tx>
            <c:strRef>
              <c:f>'Graph Data'!$B$70</c:f>
              <c:strCache>
                <c:ptCount val="1"/>
                <c:pt idx="0">
                  <c:v>NFLD</c:v>
                </c:pt>
              </c:strCache>
            </c:strRef>
          </c:tx>
          <c:spPr>
            <a:ln w="381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Data'!$C$62:$BL$62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Data'!$C$70:$BL$70</c:f>
              <c:numCache>
                <c:formatCode>0.0%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6.7567567567567571E-3</c:v>
                </c:pt>
                <c:pt idx="3">
                  <c:v>6.5789473684210523E-3</c:v>
                </c:pt>
                <c:pt idx="4">
                  <c:v>5.7142857142857143E-3</c:v>
                </c:pt>
                <c:pt idx="5">
                  <c:v>5.4644808743169399E-3</c:v>
                </c:pt>
                <c:pt idx="6">
                  <c:v>5.1282051282051282E-3</c:v>
                </c:pt>
                <c:pt idx="7">
                  <c:v>4.9261083743842365E-3</c:v>
                </c:pt>
                <c:pt idx="8">
                  <c:v>8.8495575221238937E-3</c:v>
                </c:pt>
                <c:pt idx="9">
                  <c:v>8.771929824561403E-3</c:v>
                </c:pt>
                <c:pt idx="10">
                  <c:v>8.6206896551724137E-3</c:v>
                </c:pt>
                <c:pt idx="11">
                  <c:v>8.4745762711864406E-3</c:v>
                </c:pt>
                <c:pt idx="12">
                  <c:v>8.368200836820083E-3</c:v>
                </c:pt>
                <c:pt idx="13">
                  <c:v>8.2987551867219917E-3</c:v>
                </c:pt>
                <c:pt idx="14">
                  <c:v>8.2987551867219917E-3</c:v>
                </c:pt>
                <c:pt idx="15">
                  <c:v>1.2295081967213115E-2</c:v>
                </c:pt>
                <c:pt idx="16">
                  <c:v>1.2145748987854251E-2</c:v>
                </c:pt>
                <c:pt idx="17">
                  <c:v>1.1904761904761904E-2</c:v>
                </c:pt>
                <c:pt idx="18">
                  <c:v>1.171875E-2</c:v>
                </c:pt>
                <c:pt idx="19">
                  <c:v>1.171875E-2</c:v>
                </c:pt>
                <c:pt idx="20">
                  <c:v>1.171875E-2</c:v>
                </c:pt>
                <c:pt idx="21">
                  <c:v>1.171875E-2</c:v>
                </c:pt>
                <c:pt idx="22">
                  <c:v>1.171875E-2</c:v>
                </c:pt>
                <c:pt idx="23">
                  <c:v>1.171875E-2</c:v>
                </c:pt>
                <c:pt idx="24">
                  <c:v>1.171875E-2</c:v>
                </c:pt>
                <c:pt idx="25">
                  <c:v>1.1673151750972763E-2</c:v>
                </c:pt>
                <c:pt idx="26">
                  <c:v>1.1673151750972763E-2</c:v>
                </c:pt>
                <c:pt idx="27">
                  <c:v>1.1627906976744186E-2</c:v>
                </c:pt>
                <c:pt idx="28">
                  <c:v>1.1627906976744186E-2</c:v>
                </c:pt>
                <c:pt idx="29">
                  <c:v>1.1627906976744186E-2</c:v>
                </c:pt>
                <c:pt idx="30">
                  <c:v>1.1583011583011582E-2</c:v>
                </c:pt>
                <c:pt idx="31">
                  <c:v>1.1583011583011582E-2</c:v>
                </c:pt>
                <c:pt idx="32">
                  <c:v>1.1583011583011582E-2</c:v>
                </c:pt>
                <c:pt idx="33">
                  <c:v>1.1583011583011582E-2</c:v>
                </c:pt>
                <c:pt idx="34">
                  <c:v>1.1583011583011582E-2</c:v>
                </c:pt>
                <c:pt idx="35">
                  <c:v>1.1494252873563218E-2</c:v>
                </c:pt>
                <c:pt idx="36">
                  <c:v>1.1494252873563218E-2</c:v>
                </c:pt>
                <c:pt idx="37">
                  <c:v>1.1494252873563218E-2</c:v>
                </c:pt>
                <c:pt idx="38">
                  <c:v>1.1494252873563218E-2</c:v>
                </c:pt>
                <c:pt idx="39">
                  <c:v>1.1494252873563218E-2</c:v>
                </c:pt>
                <c:pt idx="40">
                  <c:v>1.1494252873563218E-2</c:v>
                </c:pt>
                <c:pt idx="41">
                  <c:v>1.1494252873563218E-2</c:v>
                </c:pt>
                <c:pt idx="42">
                  <c:v>1.1538461538461539E-2</c:v>
                </c:pt>
                <c:pt idx="43">
                  <c:v>1.1538461538461539E-2</c:v>
                </c:pt>
                <c:pt idx="44">
                  <c:v>1.1538461538461539E-2</c:v>
                </c:pt>
                <c:pt idx="45">
                  <c:v>1.1538461538461539E-2</c:v>
                </c:pt>
                <c:pt idx="46">
                  <c:v>1.1538461538461539E-2</c:v>
                </c:pt>
                <c:pt idx="47">
                  <c:v>1.1538461538461539E-2</c:v>
                </c:pt>
                <c:pt idx="48">
                  <c:v>1.1538461538461539E-2</c:v>
                </c:pt>
                <c:pt idx="49">
                  <c:v>1.1538461538461539E-2</c:v>
                </c:pt>
                <c:pt idx="50">
                  <c:v>1.1538461538461539E-2</c:v>
                </c:pt>
                <c:pt idx="51">
                  <c:v>1.1538461538461539E-2</c:v>
                </c:pt>
                <c:pt idx="52">
                  <c:v>1.1538461538461539E-2</c:v>
                </c:pt>
                <c:pt idx="53">
                  <c:v>1.1494252873563218E-2</c:v>
                </c:pt>
                <c:pt idx="54">
                  <c:v>1.1494252873563218E-2</c:v>
                </c:pt>
                <c:pt idx="55">
                  <c:v>1.1494252873563218E-2</c:v>
                </c:pt>
                <c:pt idx="56">
                  <c:v>1.1494252873563218E-2</c:v>
                </c:pt>
                <c:pt idx="57">
                  <c:v>1.1494252873563218E-2</c:v>
                </c:pt>
                <c:pt idx="58">
                  <c:v>1.1494252873563218E-2</c:v>
                </c:pt>
                <c:pt idx="59">
                  <c:v>1.1494252873563218E-2</c:v>
                </c:pt>
                <c:pt idx="60">
                  <c:v>1.1494252873563218E-2</c:v>
                </c:pt>
                <c:pt idx="61">
                  <c:v>1.1494252873563218E-2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EA-4447-8E6C-9BFE0112BFEB}"/>
            </c:ext>
          </c:extLst>
        </c:ser>
        <c:ser>
          <c:idx val="10"/>
          <c:order val="8"/>
          <c:tx>
            <c:strRef>
              <c:f>'Graph Data'!$B$71</c:f>
              <c:strCache>
                <c:ptCount val="1"/>
                <c:pt idx="0">
                  <c:v>Canada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Data'!$C$62:$BL$62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Data'!$C$71:$BL$71</c:f>
              <c:numCache>
                <c:formatCode>0.0%</c:formatCode>
                <c:ptCount val="62"/>
                <c:pt idx="0">
                  <c:v>1.1610724086974878E-2</c:v>
                </c:pt>
                <c:pt idx="1">
                  <c:v>1.0717931269139162E-2</c:v>
                </c:pt>
                <c:pt idx="2">
                  <c:v>1.194951664876477E-2</c:v>
                </c:pt>
                <c:pt idx="3">
                  <c:v>1.1756489349319055E-2</c:v>
                </c:pt>
                <c:pt idx="4">
                  <c:v>1.1405672009864365E-2</c:v>
                </c:pt>
                <c:pt idx="5">
                  <c:v>1.2230789683594789E-2</c:v>
                </c:pt>
                <c:pt idx="6">
                  <c:v>1.4627873332261693E-2</c:v>
                </c:pt>
                <c:pt idx="7">
                  <c:v>1.662148666000856E-2</c:v>
                </c:pt>
                <c:pt idx="8">
                  <c:v>1.9446793090953013E-2</c:v>
                </c:pt>
                <c:pt idx="9">
                  <c:v>2.1288484103481029E-2</c:v>
                </c:pt>
                <c:pt idx="10">
                  <c:v>2.2550544323483669E-2</c:v>
                </c:pt>
                <c:pt idx="11">
                  <c:v>2.4512400674211413E-2</c:v>
                </c:pt>
                <c:pt idx="12">
                  <c:v>2.5690807296369876E-2</c:v>
                </c:pt>
                <c:pt idx="13">
                  <c:v>2.8004116991165624E-2</c:v>
                </c:pt>
                <c:pt idx="14">
                  <c:v>3.0373831775700934E-2</c:v>
                </c:pt>
                <c:pt idx="15">
                  <c:v>3.325573661456601E-2</c:v>
                </c:pt>
                <c:pt idx="16">
                  <c:v>3.5567137373666236E-2</c:v>
                </c:pt>
                <c:pt idx="17">
                  <c:v>3.9726300405234838E-2</c:v>
                </c:pt>
                <c:pt idx="18">
                  <c:v>4.1031102201898081E-2</c:v>
                </c:pt>
                <c:pt idx="19">
                  <c:v>4.4034388760746487E-2</c:v>
                </c:pt>
                <c:pt idx="20">
                  <c:v>4.5885259699709482E-2</c:v>
                </c:pt>
                <c:pt idx="21">
                  <c:v>4.7708235783778162E-2</c:v>
                </c:pt>
                <c:pt idx="22">
                  <c:v>4.9116695695446626E-2</c:v>
                </c:pt>
                <c:pt idx="23">
                  <c:v>5.098551412966041E-2</c:v>
                </c:pt>
                <c:pt idx="24">
                  <c:v>5.2451695224207069E-2</c:v>
                </c:pt>
                <c:pt idx="25">
                  <c:v>5.436101003418238E-2</c:v>
                </c:pt>
                <c:pt idx="26">
                  <c:v>5.5814432989690722E-2</c:v>
                </c:pt>
                <c:pt idx="27">
                  <c:v>5.7150281853436215E-2</c:v>
                </c:pt>
                <c:pt idx="28">
                  <c:v>5.8065391398724735E-2</c:v>
                </c:pt>
                <c:pt idx="29">
                  <c:v>5.9809151701855884E-2</c:v>
                </c:pt>
                <c:pt idx="30">
                  <c:v>6.1586240714843539E-2</c:v>
                </c:pt>
                <c:pt idx="31">
                  <c:v>6.2876891067461291E-2</c:v>
                </c:pt>
                <c:pt idx="32">
                  <c:v>6.3417363259395773E-2</c:v>
                </c:pt>
                <c:pt idx="33">
                  <c:v>6.516133191503079E-2</c:v>
                </c:pt>
                <c:pt idx="34">
                  <c:v>6.6723425724466309E-2</c:v>
                </c:pt>
                <c:pt idx="35">
                  <c:v>6.7926274388833197E-2</c:v>
                </c:pt>
                <c:pt idx="36">
                  <c:v>6.8775024836680007E-2</c:v>
                </c:pt>
                <c:pt idx="37">
                  <c:v>6.9318483944344339E-2</c:v>
                </c:pt>
                <c:pt idx="38">
                  <c:v>7.1347937297266406E-2</c:v>
                </c:pt>
                <c:pt idx="39">
                  <c:v>7.2642185589611705E-2</c:v>
                </c:pt>
                <c:pt idx="40">
                  <c:v>7.3382310214585147E-2</c:v>
                </c:pt>
                <c:pt idx="41">
                  <c:v>7.4461136512083609E-2</c:v>
                </c:pt>
                <c:pt idx="42">
                  <c:v>7.4556641331885637E-2</c:v>
                </c:pt>
                <c:pt idx="43">
                  <c:v>7.4857639987345778E-2</c:v>
                </c:pt>
                <c:pt idx="44">
                  <c:v>7.4828363561840347E-2</c:v>
                </c:pt>
                <c:pt idx="45">
                  <c:v>7.4729497421377286E-2</c:v>
                </c:pt>
                <c:pt idx="46">
                  <c:v>7.5253924284395202E-2</c:v>
                </c:pt>
                <c:pt idx="47">
                  <c:v>7.564802518321774E-2</c:v>
                </c:pt>
                <c:pt idx="48">
                  <c:v>7.5775945683802137E-2</c:v>
                </c:pt>
                <c:pt idx="49">
                  <c:v>7.5989950951070709E-2</c:v>
                </c:pt>
                <c:pt idx="50">
                  <c:v>7.6362151440905385E-2</c:v>
                </c:pt>
                <c:pt idx="51">
                  <c:v>7.662123327985966E-2</c:v>
                </c:pt>
                <c:pt idx="52">
                  <c:v>7.7297501114043807E-2</c:v>
                </c:pt>
                <c:pt idx="53">
                  <c:v>7.7695679681851051E-2</c:v>
                </c:pt>
                <c:pt idx="54">
                  <c:v>7.8049162361045879E-2</c:v>
                </c:pt>
                <c:pt idx="55">
                  <c:v>7.8423328528661712E-2</c:v>
                </c:pt>
                <c:pt idx="56">
                  <c:v>7.988659287934137E-2</c:v>
                </c:pt>
                <c:pt idx="57">
                  <c:v>8.0023806947300075E-2</c:v>
                </c:pt>
                <c:pt idx="58">
                  <c:v>8.0550034914325622E-2</c:v>
                </c:pt>
                <c:pt idx="59">
                  <c:v>8.1482192774683646E-2</c:v>
                </c:pt>
                <c:pt idx="60">
                  <c:v>8.1655801134255579E-2</c:v>
                </c:pt>
                <c:pt idx="61">
                  <c:v>8.1771989437916193E-2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EEA-4447-8E6C-9BFE0112BFEB}"/>
            </c:ext>
          </c:extLst>
        </c:ser>
        <c:ser>
          <c:idx val="11"/>
          <c:order val="9"/>
          <c:tx>
            <c:strRef>
              <c:f>'Graph Data'!$B$72</c:f>
              <c:strCache>
                <c:ptCount val="1"/>
                <c:pt idx="0">
                  <c:v>USA</c:v>
                </c:pt>
              </c:strCache>
            </c:strRef>
          </c:tx>
          <c:spPr>
            <a:ln w="38100" cap="rnd">
              <a:solidFill>
                <a:schemeClr val="accent6">
                  <a:lumMod val="6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'Graph Data'!$C$62:$BL$62</c:f>
              <c:numCache>
                <c:formatCode>m/d/yyyy</c:formatCode>
                <c:ptCount val="62"/>
                <c:pt idx="0">
                  <c:v>43917</c:v>
                </c:pt>
                <c:pt idx="1">
                  <c:v>43918</c:v>
                </c:pt>
                <c:pt idx="2">
                  <c:v>43920</c:v>
                </c:pt>
                <c:pt idx="3">
                  <c:v>43921</c:v>
                </c:pt>
                <c:pt idx="4">
                  <c:v>43922</c:v>
                </c:pt>
                <c:pt idx="5">
                  <c:v>43923</c:v>
                </c:pt>
                <c:pt idx="6">
                  <c:v>43924</c:v>
                </c:pt>
                <c:pt idx="7">
                  <c:v>43925</c:v>
                </c:pt>
                <c:pt idx="8">
                  <c:v>43927</c:v>
                </c:pt>
                <c:pt idx="9">
                  <c:v>43928</c:v>
                </c:pt>
                <c:pt idx="10">
                  <c:v>43929</c:v>
                </c:pt>
                <c:pt idx="11">
                  <c:v>43930</c:v>
                </c:pt>
                <c:pt idx="12">
                  <c:v>43931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43937</c:v>
                </c:pt>
                <c:pt idx="18">
                  <c:v>43938</c:v>
                </c:pt>
                <c:pt idx="19">
                  <c:v>43939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43962</c:v>
                </c:pt>
                <c:pt idx="39">
                  <c:v>43963</c:v>
                </c:pt>
                <c:pt idx="40">
                  <c:v>43964</c:v>
                </c:pt>
                <c:pt idx="41">
                  <c:v>43965</c:v>
                </c:pt>
                <c:pt idx="42">
                  <c:v>43966</c:v>
                </c:pt>
                <c:pt idx="43">
                  <c:v>43967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43976</c:v>
                </c:pt>
                <c:pt idx="51">
                  <c:v>43977</c:v>
                </c:pt>
                <c:pt idx="52">
                  <c:v>43978</c:v>
                </c:pt>
                <c:pt idx="53">
                  <c:v>43979</c:v>
                </c:pt>
                <c:pt idx="54">
                  <c:v>43980</c:v>
                </c:pt>
                <c:pt idx="55">
                  <c:v>43981</c:v>
                </c:pt>
                <c:pt idx="56">
                  <c:v>43983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43988</c:v>
                </c:pt>
              </c:numCache>
            </c:numRef>
          </c:cat>
          <c:val>
            <c:numRef>
              <c:f>'Graph Data'!$C$72:$BL$72</c:f>
              <c:numCache>
                <c:formatCode>0.0%</c:formatCode>
                <c:ptCount val="62"/>
                <c:pt idx="0">
                  <c:v>1.5390341303451259E-2</c:v>
                </c:pt>
                <c:pt idx="1">
                  <c:v>1.6619584890978905E-2</c:v>
                </c:pt>
                <c:pt idx="2">
                  <c:v>1.8308104404161217E-2</c:v>
                </c:pt>
                <c:pt idx="3">
                  <c:v>2.0273853980624559E-2</c:v>
                </c:pt>
                <c:pt idx="4">
                  <c:v>2.2299188689092374E-2</c:v>
                </c:pt>
                <c:pt idx="5">
                  <c:v>2.4199925525817019E-2</c:v>
                </c:pt>
                <c:pt idx="6">
                  <c:v>2.5498835023335824E-2</c:v>
                </c:pt>
                <c:pt idx="7">
                  <c:v>2.7107995224799983E-2</c:v>
                </c:pt>
                <c:pt idx="8">
                  <c:v>2.9465525060813874E-2</c:v>
                </c:pt>
                <c:pt idx="9">
                  <c:v>3.2070399675390548E-2</c:v>
                </c:pt>
                <c:pt idx="10">
                  <c:v>3.4277352724256638E-2</c:v>
                </c:pt>
                <c:pt idx="11">
                  <c:v>3.5823187356316823E-2</c:v>
                </c:pt>
                <c:pt idx="12">
                  <c:v>3.7391378706561659E-2</c:v>
                </c:pt>
                <c:pt idx="13">
                  <c:v>3.887430977505691E-2</c:v>
                </c:pt>
                <c:pt idx="14">
                  <c:v>4.0516736191298496E-2</c:v>
                </c:pt>
                <c:pt idx="15">
                  <c:v>4.2604398869326925E-2</c:v>
                </c:pt>
                <c:pt idx="16">
                  <c:v>4.4510760982271566E-2</c:v>
                </c:pt>
                <c:pt idx="17">
                  <c:v>4.891445285408437E-2</c:v>
                </c:pt>
                <c:pt idx="18">
                  <c:v>5.2663710188331513E-2</c:v>
                </c:pt>
                <c:pt idx="19">
                  <c:v>5.4022393247131609E-2</c:v>
                </c:pt>
                <c:pt idx="20">
                  <c:v>5.5032594456612349E-2</c:v>
                </c:pt>
                <c:pt idx="21">
                  <c:v>5.595979577775638E-2</c:v>
                </c:pt>
                <c:pt idx="22">
                  <c:v>5.7356312943202377E-2</c:v>
                </c:pt>
                <c:pt idx="23">
                  <c:v>5.7776050309664179E-2</c:v>
                </c:pt>
                <c:pt idx="24">
                  <c:v>5.740691680436813E-2</c:v>
                </c:pt>
                <c:pt idx="25">
                  <c:v>5.8199480392430294E-2</c:v>
                </c:pt>
                <c:pt idx="26">
                  <c:v>5.7406022011264518E-2</c:v>
                </c:pt>
                <c:pt idx="27">
                  <c:v>5.803745455413329E-2</c:v>
                </c:pt>
                <c:pt idx="28">
                  <c:v>5.7783694211434575E-2</c:v>
                </c:pt>
                <c:pt idx="29">
                  <c:v>5.8039063151168281E-2</c:v>
                </c:pt>
                <c:pt idx="30">
                  <c:v>5.8279060888798473E-2</c:v>
                </c:pt>
                <c:pt idx="31">
                  <c:v>5.8074610701119821E-2</c:v>
                </c:pt>
                <c:pt idx="32">
                  <c:v>5.7450113949544204E-2</c:v>
                </c:pt>
                <c:pt idx="33">
                  <c:v>5.8186241300230798E-2</c:v>
                </c:pt>
                <c:pt idx="34">
                  <c:v>5.896692990643785E-2</c:v>
                </c:pt>
                <c:pt idx="35">
                  <c:v>5.9567702504013616E-2</c:v>
                </c:pt>
                <c:pt idx="36">
                  <c:v>5.9497325877279864E-2</c:v>
                </c:pt>
                <c:pt idx="37">
                  <c:v>5.9507644243453166E-2</c:v>
                </c:pt>
                <c:pt idx="38">
                  <c:v>5.9008771446868565E-2</c:v>
                </c:pt>
                <c:pt idx="39">
                  <c:v>5.9275819650211267E-2</c:v>
                </c:pt>
                <c:pt idx="40">
                  <c:v>5.9154386898043546E-2</c:v>
                </c:pt>
                <c:pt idx="41">
                  <c:v>5.9688291407111044E-2</c:v>
                </c:pt>
                <c:pt idx="42">
                  <c:v>5.9645132986982694E-2</c:v>
                </c:pt>
                <c:pt idx="43">
                  <c:v>5.9517381650649293E-2</c:v>
                </c:pt>
                <c:pt idx="44">
                  <c:v>5.9364894203039434E-2</c:v>
                </c:pt>
                <c:pt idx="45">
                  <c:v>5.9578995364389389E-2</c:v>
                </c:pt>
                <c:pt idx="46">
                  <c:v>5.9611103071146941E-2</c:v>
                </c:pt>
                <c:pt idx="47">
                  <c:v>5.9578270661349131E-2</c:v>
                </c:pt>
                <c:pt idx="48">
                  <c:v>5.9412524792621324E-2</c:v>
                </c:pt>
                <c:pt idx="49">
                  <c:v>5.9276821691374625E-2</c:v>
                </c:pt>
                <c:pt idx="50">
                  <c:v>5.8618992426527794E-2</c:v>
                </c:pt>
                <c:pt idx="51">
                  <c:v>5.8379018510065488E-2</c:v>
                </c:pt>
                <c:pt idx="52">
                  <c:v>5.8477938542857814E-2</c:v>
                </c:pt>
                <c:pt idx="53">
                  <c:v>5.8489359478787105E-2</c:v>
                </c:pt>
                <c:pt idx="54">
                  <c:v>5.8302484273137917E-2</c:v>
                </c:pt>
                <c:pt idx="55">
                  <c:v>5.8142368161513025E-2</c:v>
                </c:pt>
                <c:pt idx="56">
                  <c:v>5.7633355097351152E-2</c:v>
                </c:pt>
                <c:pt idx="57">
                  <c:v>5.754537217920469E-2</c:v>
                </c:pt>
                <c:pt idx="58">
                  <c:v>5.7395638537229891E-2</c:v>
                </c:pt>
                <c:pt idx="59">
                  <c:v>5.735103253759221E-2</c:v>
                </c:pt>
                <c:pt idx="60">
                  <c:v>5.702151996232354E-2</c:v>
                </c:pt>
                <c:pt idx="61">
                  <c:v>5.6485498159990273E-2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EEA-4447-8E6C-9BFE0112BFE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7080640"/>
        <c:axId val="157079000"/>
        <c:extLst/>
      </c:lineChart>
      <c:dateAx>
        <c:axId val="157080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79000"/>
        <c:crosses val="autoZero"/>
        <c:auto val="1"/>
        <c:lblOffset val="100"/>
        <c:baseTimeUnit val="days"/>
      </c:dateAx>
      <c:valAx>
        <c:axId val="15707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New Cases Per Million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20"/>
      <c:depthPercent val="15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416266932150718E-2"/>
          <c:y val="1.9967203466655276E-2"/>
          <c:w val="0.79356827969319366"/>
          <c:h val="0.96293113677246045"/>
        </c:manualLayout>
      </c:layout>
      <c:area3DChart>
        <c:grouping val="standard"/>
        <c:varyColors val="0"/>
        <c:ser>
          <c:idx val="10"/>
          <c:order val="0"/>
          <c:tx>
            <c:strRef>
              <c:f>'Graph Data'!$B$83</c:f>
              <c:strCache>
                <c:ptCount val="1"/>
                <c:pt idx="0">
                  <c:v>PEI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Data'!$C$74:$BL$74</c15:sqref>
                  </c15:fullRef>
                </c:ext>
              </c:extLst>
              <c:f>'Graph Data'!$D$74:$BL$74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Data'!$C$83:$BL$83</c15:sqref>
                  </c15:fullRef>
                </c:ext>
              </c:extLst>
              <c:f>'Graph Data'!$D$83:$BL$83</c:f>
              <c:numCache>
                <c:formatCode>0</c:formatCode>
                <c:ptCount val="61"/>
                <c:pt idx="0">
                  <c:v>12.987012987012987</c:v>
                </c:pt>
                <c:pt idx="1">
                  <c:v>22.727272727272727</c:v>
                </c:pt>
                <c:pt idx="2">
                  <c:v>19.480519480519479</c:v>
                </c:pt>
                <c:pt idx="3">
                  <c:v>0</c:v>
                </c:pt>
                <c:pt idx="4">
                  <c:v>6.4935064935064934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12.987012987012987</c:v>
                </c:pt>
                <c:pt idx="10">
                  <c:v>6.4935064935064934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6.4935064935064934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6.4935064935064934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45-4D0C-BD42-6A386959CEA4}"/>
            </c:ext>
          </c:extLst>
        </c:ser>
        <c:ser>
          <c:idx val="9"/>
          <c:order val="1"/>
          <c:tx>
            <c:strRef>
              <c:f>'Graph Data'!$B$82</c:f>
              <c:strCache>
                <c:ptCount val="1"/>
                <c:pt idx="0">
                  <c:v>NB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Data'!$C$74:$BL$74</c15:sqref>
                  </c15:fullRef>
                </c:ext>
              </c:extLst>
              <c:f>'Graph Data'!$D$74:$BL$74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Data'!$C$82:$BL$82</c15:sqref>
                  </c15:fullRef>
                </c:ext>
              </c:extLst>
              <c:f>'Graph Data'!$D$82:$BL$82</c:f>
              <c:numCache>
                <c:formatCode>0</c:formatCode>
                <c:ptCount val="61"/>
                <c:pt idx="0">
                  <c:v>7.7720207253886011</c:v>
                </c:pt>
                <c:pt idx="1">
                  <c:v>11.010362694300518</c:v>
                </c:pt>
                <c:pt idx="2">
                  <c:v>2.5906735751295336</c:v>
                </c:pt>
                <c:pt idx="3">
                  <c:v>14.248704663212434</c:v>
                </c:pt>
                <c:pt idx="4">
                  <c:v>12.953367875647668</c:v>
                </c:pt>
                <c:pt idx="5">
                  <c:v>5.1813471502590671</c:v>
                </c:pt>
                <c:pt idx="6">
                  <c:v>3.8860103626943006</c:v>
                </c:pt>
                <c:pt idx="7">
                  <c:v>3.2383419689119171</c:v>
                </c:pt>
                <c:pt idx="8">
                  <c:v>2.5906735751295336</c:v>
                </c:pt>
                <c:pt idx="9">
                  <c:v>3.8860103626943006</c:v>
                </c:pt>
                <c:pt idx="10">
                  <c:v>3.8860103626943006</c:v>
                </c:pt>
                <c:pt idx="11">
                  <c:v>1.2953367875647668</c:v>
                </c:pt>
                <c:pt idx="12">
                  <c:v>0</c:v>
                </c:pt>
                <c:pt idx="13">
                  <c:v>2.5906735751295336</c:v>
                </c:pt>
                <c:pt idx="14">
                  <c:v>0</c:v>
                </c:pt>
                <c:pt idx="15">
                  <c:v>1.2953367875647668</c:v>
                </c:pt>
                <c:pt idx="16">
                  <c:v>0</c:v>
                </c:pt>
                <c:pt idx="17">
                  <c:v>0</c:v>
                </c:pt>
                <c:pt idx="18">
                  <c:v>1.2953367875647668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1.2953367875647668</c:v>
                </c:pt>
                <c:pt idx="33">
                  <c:v>1.2953367875647668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1.2953367875647668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1.2953367875647668</c:v>
                </c:pt>
                <c:pt idx="51">
                  <c:v>1.2953367875647668</c:v>
                </c:pt>
                <c:pt idx="52">
                  <c:v>3.8860103626943006</c:v>
                </c:pt>
                <c:pt idx="53">
                  <c:v>2.5906735751295336</c:v>
                </c:pt>
                <c:pt idx="54">
                  <c:v>1.2953367875647668</c:v>
                </c:pt>
                <c:pt idx="55">
                  <c:v>1.9430051813471503</c:v>
                </c:pt>
                <c:pt idx="56">
                  <c:v>1.2953367875647668</c:v>
                </c:pt>
                <c:pt idx="57">
                  <c:v>2.5906735751295336</c:v>
                </c:pt>
                <c:pt idx="58">
                  <c:v>1.2953367875647668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945-4D0C-BD42-6A386959CEA4}"/>
            </c:ext>
          </c:extLst>
        </c:ser>
        <c:ser>
          <c:idx val="4"/>
          <c:order val="2"/>
          <c:tx>
            <c:strRef>
              <c:f>'Graph Data'!$B$79</c:f>
              <c:strCache>
                <c:ptCount val="1"/>
                <c:pt idx="0">
                  <c:v>Manitoba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Data'!$C$74:$BL$74</c15:sqref>
                  </c15:fullRef>
                </c:ext>
              </c:extLst>
              <c:f>'Graph Data'!$D$74:$BL$74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Data'!$C$79:$BL$79</c15:sqref>
                  </c15:fullRef>
                </c:ext>
              </c:extLst>
              <c:f>'Graph Data'!$D$79:$BL$79</c:f>
              <c:numCache>
                <c:formatCode>0</c:formatCode>
                <c:ptCount val="61"/>
                <c:pt idx="0">
                  <c:v>18.382352941176471</c:v>
                </c:pt>
                <c:pt idx="1">
                  <c:v>11.76470588235294</c:v>
                </c:pt>
                <c:pt idx="2">
                  <c:v>5.1470588235294112</c:v>
                </c:pt>
                <c:pt idx="3">
                  <c:v>17.647058823529409</c:v>
                </c:pt>
                <c:pt idx="4">
                  <c:v>29.411764705882351</c:v>
                </c:pt>
                <c:pt idx="5">
                  <c:v>11.029411764705882</c:v>
                </c:pt>
                <c:pt idx="6">
                  <c:v>8.8235294117647047</c:v>
                </c:pt>
                <c:pt idx="7">
                  <c:v>3.6764705882352939</c:v>
                </c:pt>
                <c:pt idx="8">
                  <c:v>9.5588235294117645</c:v>
                </c:pt>
                <c:pt idx="9">
                  <c:v>2.9411764705882351</c:v>
                </c:pt>
                <c:pt idx="10">
                  <c:v>2.2058823529411762</c:v>
                </c:pt>
                <c:pt idx="11">
                  <c:v>4.4117647058823524</c:v>
                </c:pt>
                <c:pt idx="12">
                  <c:v>9.5588235294117645</c:v>
                </c:pt>
                <c:pt idx="13">
                  <c:v>1.1029411764705881</c:v>
                </c:pt>
                <c:pt idx="14">
                  <c:v>0</c:v>
                </c:pt>
                <c:pt idx="15">
                  <c:v>0</c:v>
                </c:pt>
                <c:pt idx="16">
                  <c:v>2.9411764705882351</c:v>
                </c:pt>
                <c:pt idx="17">
                  <c:v>0</c:v>
                </c:pt>
                <c:pt idx="18">
                  <c:v>2.2058823529411762</c:v>
                </c:pt>
                <c:pt idx="19">
                  <c:v>0.36764705882352938</c:v>
                </c:pt>
                <c:pt idx="20">
                  <c:v>0.73529411764705876</c:v>
                </c:pt>
                <c:pt idx="21">
                  <c:v>1.4705882352941175</c:v>
                </c:pt>
                <c:pt idx="22">
                  <c:v>3.6764705882352939</c:v>
                </c:pt>
                <c:pt idx="23">
                  <c:v>0.73529411764705876</c:v>
                </c:pt>
                <c:pt idx="24">
                  <c:v>2.9411764705882351</c:v>
                </c:pt>
                <c:pt idx="25">
                  <c:v>1.838235294117647</c:v>
                </c:pt>
                <c:pt idx="26">
                  <c:v>0</c:v>
                </c:pt>
                <c:pt idx="27">
                  <c:v>0.73529411764705876</c:v>
                </c:pt>
                <c:pt idx="28">
                  <c:v>1.4705882352941175</c:v>
                </c:pt>
                <c:pt idx="29">
                  <c:v>2.9411764705882351</c:v>
                </c:pt>
                <c:pt idx="30">
                  <c:v>0.73529411764705876</c:v>
                </c:pt>
                <c:pt idx="31">
                  <c:v>0.36764705882352938</c:v>
                </c:pt>
                <c:pt idx="32">
                  <c:v>0.73529411764705876</c:v>
                </c:pt>
                <c:pt idx="33">
                  <c:v>0.73529411764705876</c:v>
                </c:pt>
                <c:pt idx="34">
                  <c:v>0.73529411764705876</c:v>
                </c:pt>
                <c:pt idx="35">
                  <c:v>0</c:v>
                </c:pt>
                <c:pt idx="36">
                  <c:v>0</c:v>
                </c:pt>
                <c:pt idx="37">
                  <c:v>1.838235294117647</c:v>
                </c:pt>
                <c:pt idx="38">
                  <c:v>0.73529411764705876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0.36764705882352938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1.4705882352941175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1.4705882352941175</c:v>
                </c:pt>
                <c:pt idx="53">
                  <c:v>0</c:v>
                </c:pt>
                <c:pt idx="54">
                  <c:v>0</c:v>
                </c:pt>
                <c:pt idx="55">
                  <c:v>0.36764705882352938</c:v>
                </c:pt>
                <c:pt idx="56">
                  <c:v>1.4705882352941175</c:v>
                </c:pt>
                <c:pt idx="57">
                  <c:v>0.73529411764705876</c:v>
                </c:pt>
                <c:pt idx="58">
                  <c:v>0</c:v>
                </c:pt>
                <c:pt idx="59">
                  <c:v>1.4705882352941175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45-4D0C-BD42-6A386959CEA4}"/>
            </c:ext>
          </c:extLst>
        </c:ser>
        <c:ser>
          <c:idx val="11"/>
          <c:order val="3"/>
          <c:tx>
            <c:strRef>
              <c:f>'Graph Data'!$B$84</c:f>
              <c:strCache>
                <c:ptCount val="1"/>
                <c:pt idx="0">
                  <c:v>NFLD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Data'!$C$74:$BL$74</c15:sqref>
                  </c15:fullRef>
                </c:ext>
              </c:extLst>
              <c:f>'Graph Data'!$D$74:$BL$74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Data'!$C$84:$BL$84</c15:sqref>
                  </c15:fullRef>
                </c:ext>
              </c:extLst>
              <c:f>'Graph Data'!$D$84:$BL$84</c:f>
              <c:numCache>
                <c:formatCode>0</c:formatCode>
                <c:ptCount val="61"/>
                <c:pt idx="0">
                  <c:v>34.351145038167935</c:v>
                </c:pt>
                <c:pt idx="1">
                  <c:v>26.717557251908396</c:v>
                </c:pt>
                <c:pt idx="2">
                  <c:v>7.6335877862595414</c:v>
                </c:pt>
                <c:pt idx="3">
                  <c:v>43.893129770992367</c:v>
                </c:pt>
                <c:pt idx="4">
                  <c:v>15.267175572519083</c:v>
                </c:pt>
                <c:pt idx="5">
                  <c:v>22.900763358778626</c:v>
                </c:pt>
                <c:pt idx="6">
                  <c:v>15.267175572519083</c:v>
                </c:pt>
                <c:pt idx="7">
                  <c:v>21.946564885496183</c:v>
                </c:pt>
                <c:pt idx="8">
                  <c:v>3.8167938931297707</c:v>
                </c:pt>
                <c:pt idx="9">
                  <c:v>7.6335877862595414</c:v>
                </c:pt>
                <c:pt idx="10">
                  <c:v>7.6335877862595414</c:v>
                </c:pt>
                <c:pt idx="11">
                  <c:v>5.7251908396946565</c:v>
                </c:pt>
                <c:pt idx="12">
                  <c:v>3.8167938931297707</c:v>
                </c:pt>
                <c:pt idx="13">
                  <c:v>0</c:v>
                </c:pt>
                <c:pt idx="14">
                  <c:v>5.7251908396946565</c:v>
                </c:pt>
                <c:pt idx="15">
                  <c:v>5.7251908396946565</c:v>
                </c:pt>
                <c:pt idx="16">
                  <c:v>9.5419847328244263</c:v>
                </c:pt>
                <c:pt idx="17">
                  <c:v>7.6335877862595414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1.9083969465648853</c:v>
                </c:pt>
                <c:pt idx="25">
                  <c:v>0</c:v>
                </c:pt>
                <c:pt idx="26">
                  <c:v>1.9083969465648853</c:v>
                </c:pt>
                <c:pt idx="27">
                  <c:v>0</c:v>
                </c:pt>
                <c:pt idx="28">
                  <c:v>0</c:v>
                </c:pt>
                <c:pt idx="29">
                  <c:v>1.9083969465648853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3.8167938931297707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1.9083969465648853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45-4D0C-BD42-6A386959CEA4}"/>
            </c:ext>
          </c:extLst>
        </c:ser>
        <c:ser>
          <c:idx val="6"/>
          <c:order val="4"/>
          <c:tx>
            <c:strRef>
              <c:f>'Graph Data'!$B$81</c:f>
              <c:strCache>
                <c:ptCount val="1"/>
                <c:pt idx="0">
                  <c:v>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Data'!$C$74:$BL$74</c15:sqref>
                  </c15:fullRef>
                </c:ext>
              </c:extLst>
              <c:f>'Graph Data'!$D$74:$BL$74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Data'!$C$81:$BL$81</c15:sqref>
                  </c15:fullRef>
                </c:ext>
              </c:extLst>
              <c:f>'Graph Data'!$D$81:$BL$81</c:f>
              <c:numCache>
                <c:formatCode>0</c:formatCode>
                <c:ptCount val="61"/>
                <c:pt idx="0">
                  <c:v>33.160621761658035</c:v>
                </c:pt>
                <c:pt idx="1">
                  <c:v>2.5906735751295336</c:v>
                </c:pt>
                <c:pt idx="2">
                  <c:v>20.725388601036268</c:v>
                </c:pt>
                <c:pt idx="3">
                  <c:v>26.94300518134715</c:v>
                </c:pt>
                <c:pt idx="4">
                  <c:v>20.725388601036268</c:v>
                </c:pt>
                <c:pt idx="5">
                  <c:v>14.507772020725389</c:v>
                </c:pt>
                <c:pt idx="6">
                  <c:v>30.051813471502591</c:v>
                </c:pt>
                <c:pt idx="7">
                  <c:v>29.533678756476686</c:v>
                </c:pt>
                <c:pt idx="8">
                  <c:v>17.616580310880831</c:v>
                </c:pt>
                <c:pt idx="9">
                  <c:v>33.160621761658035</c:v>
                </c:pt>
                <c:pt idx="10">
                  <c:v>32.124352331606218</c:v>
                </c:pt>
                <c:pt idx="11">
                  <c:v>35.233160621761662</c:v>
                </c:pt>
                <c:pt idx="12">
                  <c:v>21.761658031088082</c:v>
                </c:pt>
                <c:pt idx="13">
                  <c:v>23.834196891191709</c:v>
                </c:pt>
                <c:pt idx="14">
                  <c:v>44.559585492227981</c:v>
                </c:pt>
                <c:pt idx="15">
                  <c:v>33.160621761658035</c:v>
                </c:pt>
                <c:pt idx="16">
                  <c:v>31.088082901554404</c:v>
                </c:pt>
                <c:pt idx="17">
                  <c:v>27.979274611398964</c:v>
                </c:pt>
                <c:pt idx="18">
                  <c:v>44.559585492227981</c:v>
                </c:pt>
                <c:pt idx="19">
                  <c:v>37.30569948186529</c:v>
                </c:pt>
                <c:pt idx="20">
                  <c:v>16.580310880829018</c:v>
                </c:pt>
                <c:pt idx="21">
                  <c:v>36.269430051813472</c:v>
                </c:pt>
                <c:pt idx="22">
                  <c:v>56.994818652849744</c:v>
                </c:pt>
                <c:pt idx="23">
                  <c:v>23.834196891191709</c:v>
                </c:pt>
                <c:pt idx="24">
                  <c:v>15.544041450777202</c:v>
                </c:pt>
                <c:pt idx="25">
                  <c:v>18.134715025906736</c:v>
                </c:pt>
                <c:pt idx="26">
                  <c:v>15.544041450777202</c:v>
                </c:pt>
                <c:pt idx="27">
                  <c:v>20.725388601036268</c:v>
                </c:pt>
                <c:pt idx="28">
                  <c:v>12.435233160621761</c:v>
                </c:pt>
                <c:pt idx="29">
                  <c:v>12.435233160621761</c:v>
                </c:pt>
                <c:pt idx="30">
                  <c:v>4.1450777202072544</c:v>
                </c:pt>
                <c:pt idx="31">
                  <c:v>11.398963730569948</c:v>
                </c:pt>
                <c:pt idx="32">
                  <c:v>6.2176165803108807</c:v>
                </c:pt>
                <c:pt idx="33">
                  <c:v>7.2538860103626943</c:v>
                </c:pt>
                <c:pt idx="34">
                  <c:v>9.3264248704663224</c:v>
                </c:pt>
                <c:pt idx="35">
                  <c:v>1.0362694300518136</c:v>
                </c:pt>
                <c:pt idx="36">
                  <c:v>3.1088082901554404</c:v>
                </c:pt>
                <c:pt idx="37">
                  <c:v>4.1450777202072544</c:v>
                </c:pt>
                <c:pt idx="38">
                  <c:v>1.0362694300518136</c:v>
                </c:pt>
                <c:pt idx="39">
                  <c:v>4.1450777202072544</c:v>
                </c:pt>
                <c:pt idx="40">
                  <c:v>2.0725388601036272</c:v>
                </c:pt>
                <c:pt idx="41">
                  <c:v>8.2901554404145088</c:v>
                </c:pt>
                <c:pt idx="42">
                  <c:v>3.1088082901554404</c:v>
                </c:pt>
                <c:pt idx="43">
                  <c:v>3.1088082901554404</c:v>
                </c:pt>
                <c:pt idx="44">
                  <c:v>1.0362694300518136</c:v>
                </c:pt>
                <c:pt idx="45">
                  <c:v>1.0362694300518136</c:v>
                </c:pt>
                <c:pt idx="46">
                  <c:v>1.0362694300518136</c:v>
                </c:pt>
                <c:pt idx="47">
                  <c:v>2.0725388601036272</c:v>
                </c:pt>
                <c:pt idx="48">
                  <c:v>1.0362694300518136</c:v>
                </c:pt>
                <c:pt idx="49">
                  <c:v>1.0362694300518136</c:v>
                </c:pt>
                <c:pt idx="50">
                  <c:v>1.0362694300518136</c:v>
                </c:pt>
                <c:pt idx="51">
                  <c:v>1.0362694300518136</c:v>
                </c:pt>
                <c:pt idx="52">
                  <c:v>2.0725388601036272</c:v>
                </c:pt>
                <c:pt idx="53">
                  <c:v>0</c:v>
                </c:pt>
                <c:pt idx="54">
                  <c:v>1.0362694300518136</c:v>
                </c:pt>
                <c:pt idx="55">
                  <c:v>0.5181347150259068</c:v>
                </c:pt>
                <c:pt idx="56">
                  <c:v>0</c:v>
                </c:pt>
                <c:pt idx="57">
                  <c:v>1.0362694300518136</c:v>
                </c:pt>
                <c:pt idx="58">
                  <c:v>0</c:v>
                </c:pt>
                <c:pt idx="59">
                  <c:v>0</c:v>
                </c:pt>
                <c:pt idx="60">
                  <c:v>2.0725388601036272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45-4D0C-BD42-6A386959CEA4}"/>
            </c:ext>
          </c:extLst>
        </c:ser>
        <c:ser>
          <c:idx val="2"/>
          <c:order val="5"/>
          <c:tx>
            <c:strRef>
              <c:f>'Graph Data'!$B$77</c:f>
              <c:strCache>
                <c:ptCount val="1"/>
                <c:pt idx="0">
                  <c:v>BC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Data'!$C$74:$BL$74</c15:sqref>
                  </c15:fullRef>
                </c:ext>
              </c:extLst>
              <c:f>'Graph Data'!$D$74:$BL$74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Data'!$C$77:$BL$77</c15:sqref>
                  </c15:fullRef>
                </c:ext>
              </c:extLst>
              <c:f>'Graph Data'!$D$77:$BL$77</c:f>
              <c:numCache>
                <c:formatCode>0</c:formatCode>
                <c:ptCount val="61"/>
                <c:pt idx="0">
                  <c:v>18.326693227091635</c:v>
                </c:pt>
                <c:pt idx="1">
                  <c:v>8.56573705179283</c:v>
                </c:pt>
                <c:pt idx="2">
                  <c:v>8.56573705179283</c:v>
                </c:pt>
                <c:pt idx="3">
                  <c:v>10.55776892430279</c:v>
                </c:pt>
                <c:pt idx="4">
                  <c:v>10.956175298804782</c:v>
                </c:pt>
                <c:pt idx="5">
                  <c:v>10.55776892430279</c:v>
                </c:pt>
                <c:pt idx="6">
                  <c:v>5.7768924302788847</c:v>
                </c:pt>
                <c:pt idx="7">
                  <c:v>6.2749003984063751</c:v>
                </c:pt>
                <c:pt idx="8">
                  <c:v>4.9800796812749004</c:v>
                </c:pt>
                <c:pt idx="9">
                  <c:v>8.9641434262948216</c:v>
                </c:pt>
                <c:pt idx="10">
                  <c:v>7.9681274900398416</c:v>
                </c:pt>
                <c:pt idx="11">
                  <c:v>6.7729083665338647</c:v>
                </c:pt>
                <c:pt idx="12">
                  <c:v>6.9721115537848615</c:v>
                </c:pt>
                <c:pt idx="13">
                  <c:v>4.4820717131474108</c:v>
                </c:pt>
                <c:pt idx="14">
                  <c:v>5.378486055776893</c:v>
                </c:pt>
                <c:pt idx="15">
                  <c:v>8.7649402390438258</c:v>
                </c:pt>
                <c:pt idx="16">
                  <c:v>2.7888446215139444</c:v>
                </c:pt>
                <c:pt idx="17">
                  <c:v>8.56573705179283</c:v>
                </c:pt>
                <c:pt idx="18">
                  <c:v>5.7768924302788847</c:v>
                </c:pt>
                <c:pt idx="19">
                  <c:v>5.1792828685258971</c:v>
                </c:pt>
                <c:pt idx="20">
                  <c:v>4.9800796812749004</c:v>
                </c:pt>
                <c:pt idx="21">
                  <c:v>14.143426294820719</c:v>
                </c:pt>
                <c:pt idx="22">
                  <c:v>5.7768924302788847</c:v>
                </c:pt>
                <c:pt idx="23">
                  <c:v>5.7768924302788847</c:v>
                </c:pt>
                <c:pt idx="24">
                  <c:v>18.924302788844624</c:v>
                </c:pt>
                <c:pt idx="25">
                  <c:v>4.9800796812749004</c:v>
                </c:pt>
                <c:pt idx="26">
                  <c:v>10.956175298804782</c:v>
                </c:pt>
                <c:pt idx="27">
                  <c:v>6.7729083665338647</c:v>
                </c:pt>
                <c:pt idx="28">
                  <c:v>4.9800796812749004</c:v>
                </c:pt>
                <c:pt idx="29">
                  <c:v>0</c:v>
                </c:pt>
                <c:pt idx="30">
                  <c:v>6.5737051792828689</c:v>
                </c:pt>
                <c:pt idx="31">
                  <c:v>7.8685258964143436</c:v>
                </c:pt>
                <c:pt idx="32">
                  <c:v>1.5936254980079683</c:v>
                </c:pt>
                <c:pt idx="33">
                  <c:v>4.5816733067729087</c:v>
                </c:pt>
                <c:pt idx="34">
                  <c:v>6.5737051792828689</c:v>
                </c:pt>
                <c:pt idx="35">
                  <c:v>5.378486055776893</c:v>
                </c:pt>
                <c:pt idx="36">
                  <c:v>2.9880478087649407</c:v>
                </c:pt>
                <c:pt idx="37">
                  <c:v>2.2908366533864544</c:v>
                </c:pt>
                <c:pt idx="38">
                  <c:v>1.3944223107569722</c:v>
                </c:pt>
                <c:pt idx="39">
                  <c:v>3.1872509960159365</c:v>
                </c:pt>
                <c:pt idx="40">
                  <c:v>3.1872509960159365</c:v>
                </c:pt>
                <c:pt idx="41">
                  <c:v>2.9880478087649407</c:v>
                </c:pt>
                <c:pt idx="42">
                  <c:v>4.1832669322709171</c:v>
                </c:pt>
                <c:pt idx="43">
                  <c:v>1.5936254980079683</c:v>
                </c:pt>
                <c:pt idx="44">
                  <c:v>0.39840637450199207</c:v>
                </c:pt>
                <c:pt idx="45">
                  <c:v>4.1832669322709171</c:v>
                </c:pt>
                <c:pt idx="46">
                  <c:v>2.3904382470119523</c:v>
                </c:pt>
                <c:pt idx="47">
                  <c:v>5.5776892430278888</c:v>
                </c:pt>
                <c:pt idx="48">
                  <c:v>1.9920318725099604</c:v>
                </c:pt>
                <c:pt idx="49">
                  <c:v>1.1952191235059761</c:v>
                </c:pt>
                <c:pt idx="50">
                  <c:v>2.3904382470119523</c:v>
                </c:pt>
                <c:pt idx="51">
                  <c:v>1.7928286852589643</c:v>
                </c:pt>
                <c:pt idx="52">
                  <c:v>1.5936254980079683</c:v>
                </c:pt>
                <c:pt idx="53">
                  <c:v>0.79681274900398413</c:v>
                </c:pt>
                <c:pt idx="54">
                  <c:v>2.1912350597609564</c:v>
                </c:pt>
                <c:pt idx="55">
                  <c:v>2.3904382470119523</c:v>
                </c:pt>
                <c:pt idx="56">
                  <c:v>0.79681274900398413</c:v>
                </c:pt>
                <c:pt idx="57">
                  <c:v>4.3824701195219129</c:v>
                </c:pt>
                <c:pt idx="58">
                  <c:v>1.7928286852589643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45-4D0C-BD42-6A386959CEA4}"/>
            </c:ext>
          </c:extLst>
        </c:ser>
        <c:ser>
          <c:idx val="5"/>
          <c:order val="6"/>
          <c:tx>
            <c:strRef>
              <c:f>'Graph Data'!$B$80</c:f>
              <c:strCache>
                <c:ptCount val="1"/>
                <c:pt idx="0">
                  <c:v>Sask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Data'!$C$74:$BL$74</c15:sqref>
                  </c15:fullRef>
                </c:ext>
              </c:extLst>
              <c:f>'Graph Data'!$D$74:$BL$74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Data'!$C$80:$BL$80</c15:sqref>
                  </c15:fullRef>
                </c:ext>
              </c:extLst>
              <c:f>'Graph Data'!$D$80:$BL$80</c:f>
              <c:numCache>
                <c:formatCode>0</c:formatCode>
                <c:ptCount val="61"/>
                <c:pt idx="0">
                  <c:v>25.641025641025642</c:v>
                </c:pt>
                <c:pt idx="1">
                  <c:v>17.948717948717949</c:v>
                </c:pt>
                <c:pt idx="2">
                  <c:v>6.8376068376068382</c:v>
                </c:pt>
                <c:pt idx="3">
                  <c:v>7.6923076923076925</c:v>
                </c:pt>
                <c:pt idx="4">
                  <c:v>11.111111111111112</c:v>
                </c:pt>
                <c:pt idx="5">
                  <c:v>11.965811965811966</c:v>
                </c:pt>
                <c:pt idx="6">
                  <c:v>9.4017094017094021</c:v>
                </c:pt>
                <c:pt idx="7">
                  <c:v>9.4017094017094021</c:v>
                </c:pt>
                <c:pt idx="8">
                  <c:v>5.982905982905983</c:v>
                </c:pt>
                <c:pt idx="9">
                  <c:v>9.4017094017094021</c:v>
                </c:pt>
                <c:pt idx="10">
                  <c:v>5.982905982905983</c:v>
                </c:pt>
                <c:pt idx="11">
                  <c:v>5.982905982905983</c:v>
                </c:pt>
                <c:pt idx="12">
                  <c:v>3.4188034188034191</c:v>
                </c:pt>
                <c:pt idx="13">
                  <c:v>4.700854700854701</c:v>
                </c:pt>
                <c:pt idx="14">
                  <c:v>0.85470085470085477</c:v>
                </c:pt>
                <c:pt idx="15">
                  <c:v>2.5641025641025643</c:v>
                </c:pt>
                <c:pt idx="16">
                  <c:v>0.85470085470085477</c:v>
                </c:pt>
                <c:pt idx="17">
                  <c:v>1.7094017094017095</c:v>
                </c:pt>
                <c:pt idx="18">
                  <c:v>5.1282051282051286</c:v>
                </c:pt>
                <c:pt idx="19">
                  <c:v>1.2820512820512822</c:v>
                </c:pt>
                <c:pt idx="20">
                  <c:v>3.4188034188034191</c:v>
                </c:pt>
                <c:pt idx="21">
                  <c:v>5.1282051282051286</c:v>
                </c:pt>
                <c:pt idx="22">
                  <c:v>4.2735042735042734</c:v>
                </c:pt>
                <c:pt idx="23">
                  <c:v>8.5470085470085468</c:v>
                </c:pt>
                <c:pt idx="24">
                  <c:v>6.8376068376068382</c:v>
                </c:pt>
                <c:pt idx="25">
                  <c:v>6.8376068376068382</c:v>
                </c:pt>
                <c:pt idx="26">
                  <c:v>0.85470085470085477</c:v>
                </c:pt>
                <c:pt idx="27">
                  <c:v>14.529914529914532</c:v>
                </c:pt>
                <c:pt idx="28">
                  <c:v>5.1282051282051286</c:v>
                </c:pt>
                <c:pt idx="29">
                  <c:v>22.222222222222225</c:v>
                </c:pt>
                <c:pt idx="30">
                  <c:v>5.1282051282051286</c:v>
                </c:pt>
                <c:pt idx="31">
                  <c:v>19.658119658119659</c:v>
                </c:pt>
                <c:pt idx="32">
                  <c:v>17.094017094017094</c:v>
                </c:pt>
                <c:pt idx="33">
                  <c:v>21.36752136752137</c:v>
                </c:pt>
                <c:pt idx="34">
                  <c:v>16.239316239316242</c:v>
                </c:pt>
                <c:pt idx="35">
                  <c:v>11.111111111111112</c:v>
                </c:pt>
                <c:pt idx="36">
                  <c:v>7.6923076923076925</c:v>
                </c:pt>
                <c:pt idx="37">
                  <c:v>6.4102564102564106</c:v>
                </c:pt>
                <c:pt idx="38">
                  <c:v>4.2735042735042734</c:v>
                </c:pt>
                <c:pt idx="39">
                  <c:v>3.4188034188034191</c:v>
                </c:pt>
                <c:pt idx="40">
                  <c:v>4.2735042735042734</c:v>
                </c:pt>
                <c:pt idx="41">
                  <c:v>6.8376068376068382</c:v>
                </c:pt>
                <c:pt idx="42">
                  <c:v>0.85470085470085477</c:v>
                </c:pt>
                <c:pt idx="43">
                  <c:v>0.42735042735042739</c:v>
                </c:pt>
                <c:pt idx="44">
                  <c:v>5.982905982905983</c:v>
                </c:pt>
                <c:pt idx="45">
                  <c:v>17.948717948717949</c:v>
                </c:pt>
                <c:pt idx="46">
                  <c:v>1.7094017094017095</c:v>
                </c:pt>
                <c:pt idx="47">
                  <c:v>4.2735042735042734</c:v>
                </c:pt>
                <c:pt idx="48">
                  <c:v>2.5641025641025643</c:v>
                </c:pt>
                <c:pt idx="49">
                  <c:v>1.7094017094017095</c:v>
                </c:pt>
                <c:pt idx="50">
                  <c:v>0</c:v>
                </c:pt>
                <c:pt idx="51">
                  <c:v>2.5641025641025643</c:v>
                </c:pt>
                <c:pt idx="52">
                  <c:v>1.7094017094017095</c:v>
                </c:pt>
                <c:pt idx="53">
                  <c:v>1.7094017094017095</c:v>
                </c:pt>
                <c:pt idx="54">
                  <c:v>3.4188034188034191</c:v>
                </c:pt>
                <c:pt idx="55">
                  <c:v>0.42735042735042739</c:v>
                </c:pt>
                <c:pt idx="56">
                  <c:v>0</c:v>
                </c:pt>
                <c:pt idx="57">
                  <c:v>0.85470085470085477</c:v>
                </c:pt>
                <c:pt idx="58">
                  <c:v>0.85470085470085477</c:v>
                </c:pt>
                <c:pt idx="59">
                  <c:v>0.85470085470085477</c:v>
                </c:pt>
                <c:pt idx="60">
                  <c:v>0.85470085470085477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45-4D0C-BD42-6A386959CEA4}"/>
            </c:ext>
          </c:extLst>
        </c:ser>
        <c:ser>
          <c:idx val="3"/>
          <c:order val="7"/>
          <c:tx>
            <c:strRef>
              <c:f>'Graph Data'!$B$78</c:f>
              <c:strCache>
                <c:ptCount val="1"/>
                <c:pt idx="0">
                  <c:v>Alberta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Data'!$C$74:$BL$74</c15:sqref>
                  </c15:fullRef>
                </c:ext>
              </c:extLst>
              <c:f>'Graph Data'!$D$74:$BL$74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Data'!$C$78:$BL$78</c15:sqref>
                  </c15:fullRef>
                </c:ext>
              </c:extLst>
              <c:f>'Graph Data'!$D$78:$BL$78</c:f>
              <c:numCache>
                <c:formatCode>0</c:formatCode>
                <c:ptCount val="61"/>
                <c:pt idx="0">
                  <c:v>18.202764976958527</c:v>
                </c:pt>
                <c:pt idx="1">
                  <c:v>7.9493087557603692</c:v>
                </c:pt>
                <c:pt idx="2">
                  <c:v>14.746543778801843</c:v>
                </c:pt>
                <c:pt idx="3">
                  <c:v>26.958525345622121</c:v>
                </c:pt>
                <c:pt idx="4">
                  <c:v>22.350230414746544</c:v>
                </c:pt>
                <c:pt idx="5">
                  <c:v>4.1474654377880187</c:v>
                </c:pt>
                <c:pt idx="6">
                  <c:v>44.930875576036868</c:v>
                </c:pt>
                <c:pt idx="7">
                  <c:v>7.9493087557603692</c:v>
                </c:pt>
                <c:pt idx="8">
                  <c:v>28.341013824884794</c:v>
                </c:pt>
                <c:pt idx="9">
                  <c:v>11.520737327188941</c:v>
                </c:pt>
                <c:pt idx="10">
                  <c:v>6.4516129032258069</c:v>
                </c:pt>
                <c:pt idx="11">
                  <c:v>11.290322580645162</c:v>
                </c:pt>
                <c:pt idx="12">
                  <c:v>15.898617511520738</c:v>
                </c:pt>
                <c:pt idx="13">
                  <c:v>18.778801843317972</c:v>
                </c:pt>
                <c:pt idx="14">
                  <c:v>31.797235023041477</c:v>
                </c:pt>
                <c:pt idx="15">
                  <c:v>29.032258064516132</c:v>
                </c:pt>
                <c:pt idx="16">
                  <c:v>37.327188940092164</c:v>
                </c:pt>
                <c:pt idx="17">
                  <c:v>55.069124423963139</c:v>
                </c:pt>
                <c:pt idx="18">
                  <c:v>38.018433179723502</c:v>
                </c:pt>
                <c:pt idx="19">
                  <c:v>39.861751152073737</c:v>
                </c:pt>
                <c:pt idx="20">
                  <c:v>43.087557603686641</c:v>
                </c:pt>
                <c:pt idx="21">
                  <c:v>70.506912442396313</c:v>
                </c:pt>
                <c:pt idx="22">
                  <c:v>73.502304147465438</c:v>
                </c:pt>
                <c:pt idx="23">
                  <c:v>68.433179723502306</c:v>
                </c:pt>
                <c:pt idx="24">
                  <c:v>47.465437788018434</c:v>
                </c:pt>
                <c:pt idx="25">
                  <c:v>54.493087557603687</c:v>
                </c:pt>
                <c:pt idx="26">
                  <c:v>35.483870967741936</c:v>
                </c:pt>
                <c:pt idx="27">
                  <c:v>72.58064516129032</c:v>
                </c:pt>
                <c:pt idx="28">
                  <c:v>43.778801843317972</c:v>
                </c:pt>
                <c:pt idx="29">
                  <c:v>50.230414746543779</c:v>
                </c:pt>
                <c:pt idx="30">
                  <c:v>22.350230414746544</c:v>
                </c:pt>
                <c:pt idx="31">
                  <c:v>22.235023041474655</c:v>
                </c:pt>
                <c:pt idx="32">
                  <c:v>6.9124423963133639</c:v>
                </c:pt>
                <c:pt idx="33">
                  <c:v>16.129032258064516</c:v>
                </c:pt>
                <c:pt idx="34">
                  <c:v>12.442396313364055</c:v>
                </c:pt>
                <c:pt idx="35">
                  <c:v>18.663594470046082</c:v>
                </c:pt>
                <c:pt idx="36">
                  <c:v>13.59447004608295</c:v>
                </c:pt>
                <c:pt idx="37">
                  <c:v>16.474654377880185</c:v>
                </c:pt>
                <c:pt idx="38">
                  <c:v>10.368663594470046</c:v>
                </c:pt>
                <c:pt idx="39">
                  <c:v>14.285714285714286</c:v>
                </c:pt>
                <c:pt idx="40">
                  <c:v>11.520737327188941</c:v>
                </c:pt>
                <c:pt idx="41">
                  <c:v>13.364055299539171</c:v>
                </c:pt>
                <c:pt idx="42">
                  <c:v>16.589861751152075</c:v>
                </c:pt>
                <c:pt idx="43">
                  <c:v>11.059907834101383</c:v>
                </c:pt>
                <c:pt idx="44">
                  <c:v>7.6036866359447011</c:v>
                </c:pt>
                <c:pt idx="45">
                  <c:v>4.3778801843317972</c:v>
                </c:pt>
                <c:pt idx="46">
                  <c:v>7.6036866359447011</c:v>
                </c:pt>
                <c:pt idx="47">
                  <c:v>7.3732718894009217</c:v>
                </c:pt>
                <c:pt idx="48">
                  <c:v>4.1474654377880187</c:v>
                </c:pt>
                <c:pt idx="49">
                  <c:v>7.0276497695852536</c:v>
                </c:pt>
                <c:pt idx="50">
                  <c:v>5.0691244239631335</c:v>
                </c:pt>
                <c:pt idx="51">
                  <c:v>5.7603686635944706</c:v>
                </c:pt>
                <c:pt idx="52">
                  <c:v>6.6820276497695854</c:v>
                </c:pt>
                <c:pt idx="53">
                  <c:v>5.5299539170506913</c:v>
                </c:pt>
                <c:pt idx="54">
                  <c:v>2.9953917050691246</c:v>
                </c:pt>
                <c:pt idx="55">
                  <c:v>5.9907834101382491</c:v>
                </c:pt>
                <c:pt idx="56">
                  <c:v>2.9953917050691246</c:v>
                </c:pt>
                <c:pt idx="57">
                  <c:v>4.3778801843317972</c:v>
                </c:pt>
                <c:pt idx="58">
                  <c:v>3.4562211981566819</c:v>
                </c:pt>
                <c:pt idx="59">
                  <c:v>1.6129032258064517</c:v>
                </c:pt>
                <c:pt idx="60">
                  <c:v>9.216589861751153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45-4D0C-BD42-6A386959CEA4}"/>
            </c:ext>
          </c:extLst>
        </c:ser>
        <c:ser>
          <c:idx val="7"/>
          <c:order val="8"/>
          <c:tx>
            <c:strRef>
              <c:f>'Graph Data'!$B$85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Data'!$C$74:$BL$74</c15:sqref>
                  </c15:fullRef>
                </c:ext>
              </c:extLst>
              <c:f>'Graph Data'!$D$74:$BL$74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Data'!$C$85:$BL$85</c15:sqref>
                  </c15:fullRef>
                </c:ext>
              </c:extLst>
              <c:f>'Graph Data'!$D$85:$BL$85</c:f>
              <c:numCache>
                <c:formatCode>0</c:formatCode>
                <c:ptCount val="61"/>
                <c:pt idx="0">
                  <c:v>30.345744680851062</c:v>
                </c:pt>
                <c:pt idx="1">
                  <c:v>20.877659574468083</c:v>
                </c:pt>
                <c:pt idx="2">
                  <c:v>30.398936170212764</c:v>
                </c:pt>
                <c:pt idx="3">
                  <c:v>30.345744680851062</c:v>
                </c:pt>
                <c:pt idx="4">
                  <c:v>41.25</c:v>
                </c:pt>
                <c:pt idx="5">
                  <c:v>30.824468085106382</c:v>
                </c:pt>
                <c:pt idx="6">
                  <c:v>41.914893617021278</c:v>
                </c:pt>
                <c:pt idx="7">
                  <c:v>33.776595744680847</c:v>
                </c:pt>
                <c:pt idx="8">
                  <c:v>35.611702127659576</c:v>
                </c:pt>
                <c:pt idx="9">
                  <c:v>37.047872340425528</c:v>
                </c:pt>
                <c:pt idx="10">
                  <c:v>39.228723404255319</c:v>
                </c:pt>
                <c:pt idx="11">
                  <c:v>36.781914893617021</c:v>
                </c:pt>
                <c:pt idx="12">
                  <c:v>31.117021276595743</c:v>
                </c:pt>
                <c:pt idx="13">
                  <c:v>31.409574468085104</c:v>
                </c:pt>
                <c:pt idx="14">
                  <c:v>36.781914893617021</c:v>
                </c:pt>
                <c:pt idx="15">
                  <c:v>35.478723404255319</c:v>
                </c:pt>
                <c:pt idx="16">
                  <c:v>45.452127659574465</c:v>
                </c:pt>
                <c:pt idx="17">
                  <c:v>48.430851063829785</c:v>
                </c:pt>
                <c:pt idx="18">
                  <c:v>38.723404255319146</c:v>
                </c:pt>
                <c:pt idx="19">
                  <c:v>45.851063829787229</c:v>
                </c:pt>
                <c:pt idx="20">
                  <c:v>42.845744680851062</c:v>
                </c:pt>
                <c:pt idx="21">
                  <c:v>46.48936170212766</c:v>
                </c:pt>
                <c:pt idx="22">
                  <c:v>51.063829787234042</c:v>
                </c:pt>
                <c:pt idx="23">
                  <c:v>47.287234042553187</c:v>
                </c:pt>
                <c:pt idx="24">
                  <c:v>38.75</c:v>
                </c:pt>
                <c:pt idx="25">
                  <c:v>41.954787234042549</c:v>
                </c:pt>
                <c:pt idx="26">
                  <c:v>40.585106382978722</c:v>
                </c:pt>
                <c:pt idx="27">
                  <c:v>41.781914893617021</c:v>
                </c:pt>
                <c:pt idx="28">
                  <c:v>43.590425531914889</c:v>
                </c:pt>
                <c:pt idx="29">
                  <c:v>48.537234042553187</c:v>
                </c:pt>
                <c:pt idx="30">
                  <c:v>43.962765957446805</c:v>
                </c:pt>
                <c:pt idx="31">
                  <c:v>53.962765957446805</c:v>
                </c:pt>
                <c:pt idx="32">
                  <c:v>33.882978723404257</c:v>
                </c:pt>
                <c:pt idx="33">
                  <c:v>36.702127659574465</c:v>
                </c:pt>
                <c:pt idx="34">
                  <c:v>37.473404255319146</c:v>
                </c:pt>
                <c:pt idx="35">
                  <c:v>42.526595744680847</c:v>
                </c:pt>
                <c:pt idx="36">
                  <c:v>33.723404255319146</c:v>
                </c:pt>
                <c:pt idx="37">
                  <c:v>30.305851063829785</c:v>
                </c:pt>
                <c:pt idx="38">
                  <c:v>31.276595744680851</c:v>
                </c:pt>
                <c:pt idx="39">
                  <c:v>29.840425531914892</c:v>
                </c:pt>
                <c:pt idx="40">
                  <c:v>32.154255319148938</c:v>
                </c:pt>
                <c:pt idx="41">
                  <c:v>29.601063829787233</c:v>
                </c:pt>
                <c:pt idx="42">
                  <c:v>33.590425531914896</c:v>
                </c:pt>
                <c:pt idx="43">
                  <c:v>29.361702127659573</c:v>
                </c:pt>
                <c:pt idx="44">
                  <c:v>27.659574468085104</c:v>
                </c:pt>
                <c:pt idx="45">
                  <c:v>27.393617021276594</c:v>
                </c:pt>
                <c:pt idx="46">
                  <c:v>31.436170212765955</c:v>
                </c:pt>
                <c:pt idx="47">
                  <c:v>30.74468085106383</c:v>
                </c:pt>
                <c:pt idx="48">
                  <c:v>29.521276595744681</c:v>
                </c:pt>
                <c:pt idx="49">
                  <c:v>28.191489361702125</c:v>
                </c:pt>
                <c:pt idx="50">
                  <c:v>24.920212765957444</c:v>
                </c:pt>
                <c:pt idx="51">
                  <c:v>23.191489361702128</c:v>
                </c:pt>
                <c:pt idx="52">
                  <c:v>26.409574468085104</c:v>
                </c:pt>
                <c:pt idx="53">
                  <c:v>24.095744680851062</c:v>
                </c:pt>
                <c:pt idx="54">
                  <c:v>20.531914893617021</c:v>
                </c:pt>
                <c:pt idx="55">
                  <c:v>20.146276595744681</c:v>
                </c:pt>
                <c:pt idx="56">
                  <c:v>18.75</c:v>
                </c:pt>
                <c:pt idx="57">
                  <c:v>17.952127659574469</c:v>
                </c:pt>
                <c:pt idx="58">
                  <c:v>17.047872340425531</c:v>
                </c:pt>
                <c:pt idx="59">
                  <c:v>16.196808510638299</c:v>
                </c:pt>
                <c:pt idx="60">
                  <c:v>19.202127659574469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45-4D0C-BD42-6A386959CEA4}"/>
            </c:ext>
          </c:extLst>
        </c:ser>
        <c:ser>
          <c:idx val="0"/>
          <c:order val="9"/>
          <c:tx>
            <c:strRef>
              <c:f>'Graph Data'!$B$75</c:f>
              <c:strCache>
                <c:ptCount val="1"/>
                <c:pt idx="0">
                  <c:v>Ontario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Data'!$C$74:$BL$74</c15:sqref>
                  </c15:fullRef>
                </c:ext>
              </c:extLst>
              <c:f>'Graph Data'!$D$74:$BL$74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Data'!$C$75:$BL$75</c15:sqref>
                  </c15:fullRef>
                </c:ext>
              </c:extLst>
              <c:f>'Graph Data'!$D$75:$BL$75</c:f>
              <c:numCache>
                <c:formatCode>0</c:formatCode>
                <c:ptCount val="61"/>
                <c:pt idx="0">
                  <c:v>25.051903114186853</c:v>
                </c:pt>
                <c:pt idx="1">
                  <c:v>12.145328719723183</c:v>
                </c:pt>
                <c:pt idx="2">
                  <c:v>17.993079584775089</c:v>
                </c:pt>
                <c:pt idx="3">
                  <c:v>29.48096885813149</c:v>
                </c:pt>
                <c:pt idx="4">
                  <c:v>27.750865051903116</c:v>
                </c:pt>
                <c:pt idx="5">
                  <c:v>31.972318339100347</c:v>
                </c:pt>
                <c:pt idx="6">
                  <c:v>25.951557093425606</c:v>
                </c:pt>
                <c:pt idx="7">
                  <c:v>24.80968858131488</c:v>
                </c:pt>
                <c:pt idx="8">
                  <c:v>26.228373702422147</c:v>
                </c:pt>
                <c:pt idx="9">
                  <c:v>38.062283737024224</c:v>
                </c:pt>
                <c:pt idx="10">
                  <c:v>33.425605536332185</c:v>
                </c:pt>
                <c:pt idx="11">
                  <c:v>33.079584775086509</c:v>
                </c:pt>
                <c:pt idx="12">
                  <c:v>28.442906574394463</c:v>
                </c:pt>
                <c:pt idx="13">
                  <c:v>28.442906574394463</c:v>
                </c:pt>
                <c:pt idx="14">
                  <c:v>33.425605536332185</c:v>
                </c:pt>
                <c:pt idx="15">
                  <c:v>36.262975778546718</c:v>
                </c:pt>
                <c:pt idx="16">
                  <c:v>33.49480968858132</c:v>
                </c:pt>
                <c:pt idx="17">
                  <c:v>39.031141868512115</c:v>
                </c:pt>
                <c:pt idx="18">
                  <c:v>33.564013840830448</c:v>
                </c:pt>
                <c:pt idx="19">
                  <c:v>40.622837370242216</c:v>
                </c:pt>
                <c:pt idx="20">
                  <c:v>38.131487889273359</c:v>
                </c:pt>
                <c:pt idx="21">
                  <c:v>35.294117647058826</c:v>
                </c:pt>
                <c:pt idx="22">
                  <c:v>43.87543252595156</c:v>
                </c:pt>
                <c:pt idx="23">
                  <c:v>44.29065743944637</c:v>
                </c:pt>
                <c:pt idx="24">
                  <c:v>32.941176470588239</c:v>
                </c:pt>
                <c:pt idx="25">
                  <c:v>29.792387543252598</c:v>
                </c:pt>
                <c:pt idx="26">
                  <c:v>36.332179930795853</c:v>
                </c:pt>
                <c:pt idx="27">
                  <c:v>24.01384083044983</c:v>
                </c:pt>
                <c:pt idx="28">
                  <c:v>31.764705882352942</c:v>
                </c:pt>
                <c:pt idx="29">
                  <c:v>29.134948096885815</c:v>
                </c:pt>
                <c:pt idx="30">
                  <c:v>35.363321799307961</c:v>
                </c:pt>
                <c:pt idx="31">
                  <c:v>27.820069204152251</c:v>
                </c:pt>
                <c:pt idx="32">
                  <c:v>26.782006920415228</c:v>
                </c:pt>
                <c:pt idx="33">
                  <c:v>28.512110726643598</c:v>
                </c:pt>
                <c:pt idx="34">
                  <c:v>27.612456747404845</c:v>
                </c:pt>
                <c:pt idx="35">
                  <c:v>33.010380622837374</c:v>
                </c:pt>
                <c:pt idx="36">
                  <c:v>23.944636678200695</c:v>
                </c:pt>
                <c:pt idx="37">
                  <c:v>20.830449826989621</c:v>
                </c:pt>
                <c:pt idx="38">
                  <c:v>24.982698961937718</c:v>
                </c:pt>
                <c:pt idx="39">
                  <c:v>22.768166089965398</c:v>
                </c:pt>
                <c:pt idx="40">
                  <c:v>17.854671280276818</c:v>
                </c:pt>
                <c:pt idx="41">
                  <c:v>29.61937716262976</c:v>
                </c:pt>
                <c:pt idx="42">
                  <c:v>27.058823529411764</c:v>
                </c:pt>
                <c:pt idx="43">
                  <c:v>22.283737024221455</c:v>
                </c:pt>
                <c:pt idx="44">
                  <c:v>29.550173010380625</c:v>
                </c:pt>
                <c:pt idx="45">
                  <c:v>26.989619377162629</c:v>
                </c:pt>
                <c:pt idx="46">
                  <c:v>28.581314878892734</c:v>
                </c:pt>
                <c:pt idx="47">
                  <c:v>30.519031141868513</c:v>
                </c:pt>
                <c:pt idx="48">
                  <c:v>28.512110726643598</c:v>
                </c:pt>
                <c:pt idx="49">
                  <c:v>29.896193771626297</c:v>
                </c:pt>
                <c:pt idx="50">
                  <c:v>19.86159169550173</c:v>
                </c:pt>
                <c:pt idx="51">
                  <c:v>20.207612456747405</c:v>
                </c:pt>
                <c:pt idx="52">
                  <c:v>26.505190311418687</c:v>
                </c:pt>
                <c:pt idx="53">
                  <c:v>23.806228373702425</c:v>
                </c:pt>
                <c:pt idx="54">
                  <c:v>22.352941176470591</c:v>
                </c:pt>
                <c:pt idx="55">
                  <c:v>25.259515570934258</c:v>
                </c:pt>
                <c:pt idx="56">
                  <c:v>30.865051903114189</c:v>
                </c:pt>
                <c:pt idx="57">
                  <c:v>23.391003460207614</c:v>
                </c:pt>
                <c:pt idx="58">
                  <c:v>24.636678200692042</c:v>
                </c:pt>
                <c:pt idx="59">
                  <c:v>23.806228373702425</c:v>
                </c:pt>
                <c:pt idx="60">
                  <c:v>31.487889273356402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45-4D0C-BD42-6A386959CEA4}"/>
            </c:ext>
          </c:extLst>
        </c:ser>
        <c:ser>
          <c:idx val="1"/>
          <c:order val="10"/>
          <c:tx>
            <c:strRef>
              <c:f>'Graph Data'!$B$76</c:f>
              <c:strCache>
                <c:ptCount val="1"/>
                <c:pt idx="0">
                  <c:v>Quebec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Data'!$C$74:$BL$74</c15:sqref>
                  </c15:fullRef>
                </c:ext>
              </c:extLst>
              <c:f>'Graph Data'!$D$74:$BL$74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Data'!$C$76:$BL$76</c15:sqref>
                  </c15:fullRef>
                </c:ext>
              </c:extLst>
              <c:f>'Graph Data'!$D$76:$BL$76</c:f>
              <c:numCache>
                <c:formatCode>0</c:formatCode>
                <c:ptCount val="61"/>
                <c:pt idx="0">
                  <c:v>56.583629893238438</c:v>
                </c:pt>
                <c:pt idx="1">
                  <c:v>55.278766310794779</c:v>
                </c:pt>
                <c:pt idx="2">
                  <c:v>86.832740213523138</c:v>
                </c:pt>
                <c:pt idx="3">
                  <c:v>53.262158956109133</c:v>
                </c:pt>
                <c:pt idx="4">
                  <c:v>107.59193357058126</c:v>
                </c:pt>
                <c:pt idx="5">
                  <c:v>69.157769869513643</c:v>
                </c:pt>
                <c:pt idx="6">
                  <c:v>106.2870699881376</c:v>
                </c:pt>
                <c:pt idx="7">
                  <c:v>93.890865954922901</c:v>
                </c:pt>
                <c:pt idx="8">
                  <c:v>90.154211150652429</c:v>
                </c:pt>
                <c:pt idx="9">
                  <c:v>81.969157769869511</c:v>
                </c:pt>
                <c:pt idx="10">
                  <c:v>104.50771055753262</c:v>
                </c:pt>
                <c:pt idx="11">
                  <c:v>90.7473309608541</c:v>
                </c:pt>
                <c:pt idx="12">
                  <c:v>72.953736654804274</c:v>
                </c:pt>
                <c:pt idx="13">
                  <c:v>75.029655990510079</c:v>
                </c:pt>
                <c:pt idx="14">
                  <c:v>81.969157769869511</c:v>
                </c:pt>
                <c:pt idx="15">
                  <c:v>72.59786476868328</c:v>
                </c:pt>
                <c:pt idx="16">
                  <c:v>118.26809015421115</c:v>
                </c:pt>
                <c:pt idx="17">
                  <c:v>110.55753262158956</c:v>
                </c:pt>
                <c:pt idx="18">
                  <c:v>86.832740213523138</c:v>
                </c:pt>
                <c:pt idx="19">
                  <c:v>106.64294187425861</c:v>
                </c:pt>
                <c:pt idx="20">
                  <c:v>95.729537366548044</c:v>
                </c:pt>
                <c:pt idx="21">
                  <c:v>99.525504151838675</c:v>
                </c:pt>
                <c:pt idx="22">
                  <c:v>103.55871886120997</c:v>
                </c:pt>
                <c:pt idx="23">
                  <c:v>92.289442467378407</c:v>
                </c:pt>
                <c:pt idx="24">
                  <c:v>77.22419928825623</c:v>
                </c:pt>
                <c:pt idx="25">
                  <c:v>101.72004744958483</c:v>
                </c:pt>
                <c:pt idx="26">
                  <c:v>91.933570581257413</c:v>
                </c:pt>
                <c:pt idx="27">
                  <c:v>99.288256227758012</c:v>
                </c:pt>
                <c:pt idx="28">
                  <c:v>111.98102016607355</c:v>
                </c:pt>
                <c:pt idx="29">
                  <c:v>131.67259786476868</c:v>
                </c:pt>
                <c:pt idx="30">
                  <c:v>119.57295373665481</c:v>
                </c:pt>
                <c:pt idx="31">
                  <c:v>175.97864768683274</c:v>
                </c:pt>
                <c:pt idx="32">
                  <c:v>94.187425860023723</c:v>
                </c:pt>
                <c:pt idx="33">
                  <c:v>107.94780545670226</c:v>
                </c:pt>
                <c:pt idx="34">
                  <c:v>108.06642941874259</c:v>
                </c:pt>
                <c:pt idx="35">
                  <c:v>108.18505338078292</c:v>
                </c:pt>
                <c:pt idx="36">
                  <c:v>99.169632265717681</c:v>
                </c:pt>
                <c:pt idx="37">
                  <c:v>87.959667852906293</c:v>
                </c:pt>
                <c:pt idx="38">
                  <c:v>89.679715302491104</c:v>
                </c:pt>
                <c:pt idx="39">
                  <c:v>83.748517200474495</c:v>
                </c:pt>
                <c:pt idx="40">
                  <c:v>104.38908659549229</c:v>
                </c:pt>
                <c:pt idx="41">
                  <c:v>72.241992882562286</c:v>
                </c:pt>
                <c:pt idx="42">
                  <c:v>90.510083036773437</c:v>
                </c:pt>
                <c:pt idx="43">
                  <c:v>85.646500593119811</c:v>
                </c:pt>
                <c:pt idx="44">
                  <c:v>67.615658362989322</c:v>
                </c:pt>
                <c:pt idx="45">
                  <c:v>68.564650059311987</c:v>
                </c:pt>
                <c:pt idx="46">
                  <c:v>85.409252669039148</c:v>
                </c:pt>
                <c:pt idx="47">
                  <c:v>76.631079478054573</c:v>
                </c:pt>
                <c:pt idx="48">
                  <c:v>82.680901542111513</c:v>
                </c:pt>
                <c:pt idx="49">
                  <c:v>67.971530249110316</c:v>
                </c:pt>
                <c:pt idx="50">
                  <c:v>72.835112692763943</c:v>
                </c:pt>
                <c:pt idx="51">
                  <c:v>64.175563463819699</c:v>
                </c:pt>
                <c:pt idx="52">
                  <c:v>66.785290628707003</c:v>
                </c:pt>
                <c:pt idx="53">
                  <c:v>62.870699881376041</c:v>
                </c:pt>
                <c:pt idx="54">
                  <c:v>49.703440094899172</c:v>
                </c:pt>
                <c:pt idx="55">
                  <c:v>41.696322657176751</c:v>
                </c:pt>
                <c:pt idx="56">
                  <c:v>28.351126927639385</c:v>
                </c:pt>
                <c:pt idx="57">
                  <c:v>34.519572953736656</c:v>
                </c:pt>
                <c:pt idx="58">
                  <c:v>30.723606168446029</c:v>
                </c:pt>
                <c:pt idx="59">
                  <c:v>30.2491103202847</c:v>
                </c:pt>
                <c:pt idx="60">
                  <c:v>26.809015421115067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45-4D0C-BD42-6A386959CEA4}"/>
            </c:ext>
          </c:extLst>
        </c:ser>
        <c:ser>
          <c:idx val="8"/>
          <c:order val="11"/>
          <c:tx>
            <c:strRef>
              <c:f>'Graph Data'!$B$86</c:f>
              <c:strCache>
                <c:ptCount val="1"/>
                <c:pt idx="0">
                  <c:v>USA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Data'!$C$74:$BL$74</c15:sqref>
                  </c15:fullRef>
                </c:ext>
              </c:extLst>
              <c:f>'Graph Data'!$D$74:$BL$74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Data'!$C$86:$BL$86</c15:sqref>
                  </c15:fullRef>
                </c:ext>
              </c:extLst>
              <c:f>'Graph Data'!$D$86:$BL$86</c:f>
              <c:numCache>
                <c:formatCode>0</c:formatCode>
                <c:ptCount val="61"/>
                <c:pt idx="0">
                  <c:v>57.556574923547402</c:v>
                </c:pt>
                <c:pt idx="1">
                  <c:v>64.672782874617738</c:v>
                </c:pt>
                <c:pt idx="2">
                  <c:v>74.128440366972484</c:v>
                </c:pt>
                <c:pt idx="3">
                  <c:v>79.510703363914374</c:v>
                </c:pt>
                <c:pt idx="4">
                  <c:v>86.357798165137609</c:v>
                </c:pt>
                <c:pt idx="5">
                  <c:v>111.7217125382263</c:v>
                </c:pt>
                <c:pt idx="6">
                  <c:v>102.61467889908256</c:v>
                </c:pt>
                <c:pt idx="7">
                  <c:v>83.666666666666671</c:v>
                </c:pt>
                <c:pt idx="8">
                  <c:v>93.287461773700301</c:v>
                </c:pt>
                <c:pt idx="9">
                  <c:v>91.960244648318039</c:v>
                </c:pt>
                <c:pt idx="10">
                  <c:v>104.22935779816514</c:v>
                </c:pt>
                <c:pt idx="11">
                  <c:v>99.944954128440372</c:v>
                </c:pt>
                <c:pt idx="12">
                  <c:v>97.9908256880734</c:v>
                </c:pt>
                <c:pt idx="13">
                  <c:v>81.918960244648318</c:v>
                </c:pt>
                <c:pt idx="14">
                  <c:v>78.590214067278282</c:v>
                </c:pt>
                <c:pt idx="15">
                  <c:v>92.302752293577981</c:v>
                </c:pt>
                <c:pt idx="16">
                  <c:v>93.590214067278282</c:v>
                </c:pt>
                <c:pt idx="17">
                  <c:v>95.596330275229363</c:v>
                </c:pt>
                <c:pt idx="18">
                  <c:v>84.59327217125383</c:v>
                </c:pt>
                <c:pt idx="19">
                  <c:v>76.975535168195719</c:v>
                </c:pt>
                <c:pt idx="20">
                  <c:v>83.159021406727831</c:v>
                </c:pt>
                <c:pt idx="21">
                  <c:v>83.238532110091739</c:v>
                </c:pt>
                <c:pt idx="22">
                  <c:v>99.027522935779814</c:v>
                </c:pt>
                <c:pt idx="23">
                  <c:v>96.324159021406729</c:v>
                </c:pt>
                <c:pt idx="24">
                  <c:v>126.68501529051987</c:v>
                </c:pt>
                <c:pt idx="25">
                  <c:v>74.758409785932727</c:v>
                </c:pt>
                <c:pt idx="26">
                  <c:v>74.795107033639141</c:v>
                </c:pt>
                <c:pt idx="27">
                  <c:v>134.06422018348624</c:v>
                </c:pt>
                <c:pt idx="28">
                  <c:v>92.840978593272169</c:v>
                </c:pt>
                <c:pt idx="29">
                  <c:v>110.18654434250764</c:v>
                </c:pt>
                <c:pt idx="30">
                  <c:v>111.64220183486239</c:v>
                </c:pt>
                <c:pt idx="31">
                  <c:v>84.440366972477065</c:v>
                </c:pt>
                <c:pt idx="32">
                  <c:v>58.290519877675841</c:v>
                </c:pt>
                <c:pt idx="33">
                  <c:v>88.75535168195718</c:v>
                </c:pt>
                <c:pt idx="34">
                  <c:v>97.422018348623851</c:v>
                </c:pt>
                <c:pt idx="35">
                  <c:v>76.718654434250766</c:v>
                </c:pt>
                <c:pt idx="36">
                  <c:v>89.339449541284409</c:v>
                </c:pt>
                <c:pt idx="37">
                  <c:v>59.01223241590214</c:v>
                </c:pt>
                <c:pt idx="38">
                  <c:v>66.932721712538225</c:v>
                </c:pt>
                <c:pt idx="39">
                  <c:v>92.862385321100916</c:v>
                </c:pt>
                <c:pt idx="40">
                  <c:v>44.477064220183486</c:v>
                </c:pt>
                <c:pt idx="41">
                  <c:v>84.467889908256879</c:v>
                </c:pt>
                <c:pt idx="42">
                  <c:v>83.207951070336392</c:v>
                </c:pt>
                <c:pt idx="43">
                  <c:v>62.744648318042813</c:v>
                </c:pt>
                <c:pt idx="44">
                  <c:v>69.941896024464839</c:v>
                </c:pt>
                <c:pt idx="45">
                  <c:v>50.311926605504588</c:v>
                </c:pt>
                <c:pt idx="46">
                  <c:v>61.541284403669728</c:v>
                </c:pt>
                <c:pt idx="47">
                  <c:v>107.29969418960245</c:v>
                </c:pt>
                <c:pt idx="48">
                  <c:v>70.174311926605498</c:v>
                </c:pt>
                <c:pt idx="49">
                  <c:v>61.177370030581038</c:v>
                </c:pt>
                <c:pt idx="50">
                  <c:v>52.021406727828747</c:v>
                </c:pt>
                <c:pt idx="51">
                  <c:v>66.785932721712541</c:v>
                </c:pt>
                <c:pt idx="52">
                  <c:v>65.519877675840974</c:v>
                </c:pt>
                <c:pt idx="53">
                  <c:v>77.370030581039757</c:v>
                </c:pt>
                <c:pt idx="54">
                  <c:v>72.688073394495419</c:v>
                </c:pt>
                <c:pt idx="55">
                  <c:v>59.223241590214066</c:v>
                </c:pt>
                <c:pt idx="56">
                  <c:v>74.59327217125383</c:v>
                </c:pt>
                <c:pt idx="57">
                  <c:v>67.691131498470952</c:v>
                </c:pt>
                <c:pt idx="58">
                  <c:v>69.13455657492355</c:v>
                </c:pt>
                <c:pt idx="59">
                  <c:v>102.75229357798165</c:v>
                </c:pt>
                <c:pt idx="60">
                  <c:v>93.064220183486242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945-4D0C-BD42-6A386959C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080640"/>
        <c:axId val="157079000"/>
        <c:axId val="234275784"/>
      </c:area3DChart>
      <c:catAx>
        <c:axId val="15708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79000"/>
        <c:crosses val="autoZero"/>
        <c:auto val="1"/>
        <c:lblAlgn val="ctr"/>
        <c:lblOffset val="100"/>
        <c:tickLblSkip val="3"/>
        <c:noMultiLvlLbl val="0"/>
      </c:catAx>
      <c:valAx>
        <c:axId val="15707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0640"/>
        <c:crosses val="autoZero"/>
        <c:crossBetween val="midCat"/>
      </c:valAx>
      <c:serAx>
        <c:axId val="2342757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79000"/>
        <c:crosses val="autoZero"/>
        <c:tickLblSkip val="1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New Deaths Per Million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20"/>
      <c:depthPercent val="15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53157707138459"/>
          <c:y val="1.9359570542812583E-2"/>
          <c:w val="0.79356827969319366"/>
          <c:h val="0.84045442009966143"/>
        </c:manualLayout>
      </c:layout>
      <c:area3DChart>
        <c:grouping val="standard"/>
        <c:varyColors val="0"/>
        <c:ser>
          <c:idx val="6"/>
          <c:order val="0"/>
          <c:tx>
            <c:strRef>
              <c:f>'Graph Data'!$B$96</c:f>
              <c:strCache>
                <c:ptCount val="1"/>
                <c:pt idx="0">
                  <c:v>NB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Data'!$C$88:$BL$88</c15:sqref>
                  </c15:fullRef>
                </c:ext>
              </c:extLst>
              <c:f>'Graph Data'!$D$88:$BL$88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Data'!$C$96:$BL$96</c15:sqref>
                  </c15:fullRef>
                </c:ext>
              </c:extLst>
              <c:f>'Graph Data'!$D$96:$BL$96</c:f>
              <c:numCache>
                <c:formatCode>0.0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1.2953367875647668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08-44E4-A88B-642C7D529996}"/>
            </c:ext>
          </c:extLst>
        </c:ser>
        <c:ser>
          <c:idx val="3"/>
          <c:order val="1"/>
          <c:tx>
            <c:strRef>
              <c:f>'Graph Data'!$B$97</c:f>
              <c:strCache>
                <c:ptCount val="1"/>
                <c:pt idx="0">
                  <c:v>PEI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Data'!$C$88:$BL$88</c15:sqref>
                  </c15:fullRef>
                </c:ext>
              </c:extLst>
              <c:f>'Graph Data'!$D$88:$BL$88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Data'!$C$97:$BL$97</c15:sqref>
                  </c15:fullRef>
                </c:ext>
              </c:extLst>
              <c:f>'Graph Data'!$D$97:$BL$97</c:f>
              <c:numCache>
                <c:formatCode>0.0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08-44E4-A88B-642C7D529996}"/>
            </c:ext>
          </c:extLst>
        </c:ser>
        <c:ser>
          <c:idx val="7"/>
          <c:order val="2"/>
          <c:tx>
            <c:strRef>
              <c:f>'Graph Data'!$B$98</c:f>
              <c:strCache>
                <c:ptCount val="1"/>
                <c:pt idx="0">
                  <c:v>NFLD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25400"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Data'!$C$88:$BL$88</c15:sqref>
                  </c15:fullRef>
                </c:ext>
              </c:extLst>
              <c:f>'Graph Data'!$D$88:$BL$88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Data'!$C$98:$BL$98</c15:sqref>
                  </c15:fullRef>
                </c:ext>
              </c:extLst>
              <c:f>'Graph Data'!$D$98:$BL$98</c:f>
              <c:numCache>
                <c:formatCode>0.0</c:formatCode>
                <c:ptCount val="61"/>
                <c:pt idx="0">
                  <c:v>0</c:v>
                </c:pt>
                <c:pt idx="1">
                  <c:v>1.9083969465648853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0.95419847328244267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1.9083969465648853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08-44E4-A88B-642C7D529996}"/>
            </c:ext>
          </c:extLst>
        </c:ser>
        <c:ser>
          <c:idx val="5"/>
          <c:order val="3"/>
          <c:tx>
            <c:strRef>
              <c:f>'Graph Data'!$B$93</c:f>
              <c:strCache>
                <c:ptCount val="1"/>
                <c:pt idx="0">
                  <c:v>Manitoba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Data'!$C$88:$BL$88</c15:sqref>
                  </c15:fullRef>
                </c:ext>
              </c:extLst>
              <c:f>'Graph Data'!$D$88:$BL$88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Data'!$C$93:$BL$93</c15:sqref>
                  </c15:fullRef>
                </c:ext>
              </c:extLst>
              <c:f>'Graph Data'!$D$93:$BL$93</c:f>
              <c:numCache>
                <c:formatCode>0.0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0.73529411764705876</c:v>
                </c:pt>
                <c:pt idx="6">
                  <c:v>0</c:v>
                </c:pt>
                <c:pt idx="7">
                  <c:v>0</c:v>
                </c:pt>
                <c:pt idx="8">
                  <c:v>0.73529411764705876</c:v>
                </c:pt>
                <c:pt idx="9">
                  <c:v>0</c:v>
                </c:pt>
                <c:pt idx="10">
                  <c:v>0</c:v>
                </c:pt>
                <c:pt idx="11">
                  <c:v>0.73529411764705876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0.73529411764705876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0.36764705882352938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0.73529411764705876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8-44E4-A88B-642C7D529996}"/>
            </c:ext>
          </c:extLst>
        </c:ser>
        <c:ser>
          <c:idx val="2"/>
          <c:order val="4"/>
          <c:tx>
            <c:strRef>
              <c:f>'Graph Data'!$B$94</c:f>
              <c:strCache>
                <c:ptCount val="1"/>
                <c:pt idx="0">
                  <c:v>Sask</c:v>
                </c:pt>
              </c:strCache>
            </c:strRef>
          </c:tx>
          <c:spPr>
            <a:solidFill>
              <a:srgbClr val="009900"/>
            </a:solidFill>
            <a:ln w="25400"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Data'!$C$88:$BL$88</c15:sqref>
                  </c15:fullRef>
                </c:ext>
              </c:extLst>
              <c:f>'Graph Data'!$D$88:$BL$88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Data'!$C$94:$BL$94</c15:sqref>
                  </c15:fullRef>
                </c:ext>
              </c:extLst>
              <c:f>'Graph Data'!$D$94:$BL$94</c:f>
              <c:numCache>
                <c:formatCode>0.0</c:formatCode>
                <c:ptCount val="61"/>
                <c:pt idx="0">
                  <c:v>0</c:v>
                </c:pt>
                <c:pt idx="1">
                  <c:v>1.7094017094017095</c:v>
                </c:pt>
                <c:pt idx="2">
                  <c:v>0</c:v>
                </c:pt>
                <c:pt idx="3">
                  <c:v>0.85470085470085477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0.85470085470085477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0.42735042735042739</c:v>
                </c:pt>
                <c:pt idx="26">
                  <c:v>0</c:v>
                </c:pt>
                <c:pt idx="27">
                  <c:v>0.85470085470085477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0.85470085470085477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0.85470085470085477</c:v>
                </c:pt>
                <c:pt idx="51">
                  <c:v>1.7094017094017095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0.42735042735042739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08-44E4-A88B-642C7D529996}"/>
            </c:ext>
          </c:extLst>
        </c:ser>
        <c:ser>
          <c:idx val="11"/>
          <c:order val="5"/>
          <c:tx>
            <c:strRef>
              <c:f>'Graph Data'!$B$91</c:f>
              <c:strCache>
                <c:ptCount val="1"/>
                <c:pt idx="0">
                  <c:v>BC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Data'!$C$88:$BL$88</c15:sqref>
                  </c15:fullRef>
                </c:ext>
              </c:extLst>
              <c:f>'Graph Data'!$D$88:$BL$88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Data'!$C$91:$BL$91</c15:sqref>
                  </c15:fullRef>
                </c:ext>
              </c:extLst>
              <c:f>'Graph Data'!$D$91:$BL$91</c:f>
              <c:numCache>
                <c:formatCode>0.0</c:formatCode>
                <c:ptCount val="61"/>
                <c:pt idx="0">
                  <c:v>0.19920318725099603</c:v>
                </c:pt>
                <c:pt idx="1">
                  <c:v>0.39840637450199207</c:v>
                </c:pt>
                <c:pt idx="2">
                  <c:v>0.99601593625498019</c:v>
                </c:pt>
                <c:pt idx="3">
                  <c:v>0.19920318725099603</c:v>
                </c:pt>
                <c:pt idx="4">
                  <c:v>1.1952191235059761</c:v>
                </c:pt>
                <c:pt idx="5">
                  <c:v>0.79681274900398413</c:v>
                </c:pt>
                <c:pt idx="6">
                  <c:v>0.59760956175298807</c:v>
                </c:pt>
                <c:pt idx="7">
                  <c:v>9.9601593625498017E-2</c:v>
                </c:pt>
                <c:pt idx="8">
                  <c:v>0.79681274900398413</c:v>
                </c:pt>
                <c:pt idx="9">
                  <c:v>0.99601593625498019</c:v>
                </c:pt>
                <c:pt idx="10">
                  <c:v>0.39840637450199207</c:v>
                </c:pt>
                <c:pt idx="11">
                  <c:v>0.99601593625498019</c:v>
                </c:pt>
                <c:pt idx="12">
                  <c:v>0.59760956175298807</c:v>
                </c:pt>
                <c:pt idx="13">
                  <c:v>1.0956175298804782</c:v>
                </c:pt>
                <c:pt idx="14">
                  <c:v>0.59760956175298807</c:v>
                </c:pt>
                <c:pt idx="15">
                  <c:v>0.59760956175298807</c:v>
                </c:pt>
                <c:pt idx="16">
                  <c:v>0.59760956175298807</c:v>
                </c:pt>
                <c:pt idx="17">
                  <c:v>0</c:v>
                </c:pt>
                <c:pt idx="18">
                  <c:v>0.59760956175298807</c:v>
                </c:pt>
                <c:pt idx="19">
                  <c:v>0.4980079681274901</c:v>
                </c:pt>
                <c:pt idx="20">
                  <c:v>0.19920318725099603</c:v>
                </c:pt>
                <c:pt idx="21">
                  <c:v>0.59760956175298807</c:v>
                </c:pt>
                <c:pt idx="22">
                  <c:v>0.79681274900398413</c:v>
                </c:pt>
                <c:pt idx="23">
                  <c:v>0.79681274900398413</c:v>
                </c:pt>
                <c:pt idx="24">
                  <c:v>0.39840637450199207</c:v>
                </c:pt>
                <c:pt idx="25">
                  <c:v>0.29880478087649404</c:v>
                </c:pt>
                <c:pt idx="26">
                  <c:v>0.39840637450199207</c:v>
                </c:pt>
                <c:pt idx="27">
                  <c:v>0.79681274900398413</c:v>
                </c:pt>
                <c:pt idx="28">
                  <c:v>0.39840637450199207</c:v>
                </c:pt>
                <c:pt idx="29">
                  <c:v>0</c:v>
                </c:pt>
                <c:pt idx="30">
                  <c:v>0.19920318725099603</c:v>
                </c:pt>
                <c:pt idx="31">
                  <c:v>0.4980079681274901</c:v>
                </c:pt>
                <c:pt idx="32">
                  <c:v>0.79681274900398413</c:v>
                </c:pt>
                <c:pt idx="33">
                  <c:v>0.59760956175298807</c:v>
                </c:pt>
                <c:pt idx="34">
                  <c:v>0.39840637450199207</c:v>
                </c:pt>
                <c:pt idx="35">
                  <c:v>0.19920318725099603</c:v>
                </c:pt>
                <c:pt idx="36">
                  <c:v>0.39840637450199207</c:v>
                </c:pt>
                <c:pt idx="37">
                  <c:v>9.9601593625498017E-2</c:v>
                </c:pt>
                <c:pt idx="38">
                  <c:v>0.19920318725099603</c:v>
                </c:pt>
                <c:pt idx="39">
                  <c:v>0.19920318725099603</c:v>
                </c:pt>
                <c:pt idx="40">
                  <c:v>0.59760956175298807</c:v>
                </c:pt>
                <c:pt idx="41">
                  <c:v>0.99601593625498019</c:v>
                </c:pt>
                <c:pt idx="42">
                  <c:v>0.19920318725099603</c:v>
                </c:pt>
                <c:pt idx="43">
                  <c:v>0.19920318725099603</c:v>
                </c:pt>
                <c:pt idx="44">
                  <c:v>0.59760956175298807</c:v>
                </c:pt>
                <c:pt idx="45">
                  <c:v>0.59760956175298807</c:v>
                </c:pt>
                <c:pt idx="46">
                  <c:v>0.59760956175298807</c:v>
                </c:pt>
                <c:pt idx="47">
                  <c:v>0.59760956175298807</c:v>
                </c:pt>
                <c:pt idx="48">
                  <c:v>0.39840637450199207</c:v>
                </c:pt>
                <c:pt idx="49">
                  <c:v>0.39840637450199207</c:v>
                </c:pt>
                <c:pt idx="50">
                  <c:v>0</c:v>
                </c:pt>
                <c:pt idx="51">
                  <c:v>0.19920318725099603</c:v>
                </c:pt>
                <c:pt idx="52">
                  <c:v>0.39840637450199207</c:v>
                </c:pt>
                <c:pt idx="53">
                  <c:v>0</c:v>
                </c:pt>
                <c:pt idx="54">
                  <c:v>0</c:v>
                </c:pt>
                <c:pt idx="55">
                  <c:v>9.9601593625498017E-2</c:v>
                </c:pt>
                <c:pt idx="56">
                  <c:v>0</c:v>
                </c:pt>
                <c:pt idx="57">
                  <c:v>0.19920318725099603</c:v>
                </c:pt>
                <c:pt idx="58">
                  <c:v>0</c:v>
                </c:pt>
                <c:pt idx="59">
                  <c:v>0.19920318725099603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8-44E4-A88B-642C7D529996}"/>
            </c:ext>
          </c:extLst>
        </c:ser>
        <c:ser>
          <c:idx val="4"/>
          <c:order val="6"/>
          <c:tx>
            <c:strRef>
              <c:f>'Graph Data'!$B$92</c:f>
              <c:strCache>
                <c:ptCount val="1"/>
                <c:pt idx="0">
                  <c:v>Alberta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Data'!$C$88:$BL$88</c15:sqref>
                  </c15:fullRef>
                </c:ext>
              </c:extLst>
              <c:f>'Graph Data'!$D$88:$BL$88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Data'!$C$92:$BL$92</c15:sqref>
                  </c15:fullRef>
                </c:ext>
              </c:extLst>
              <c:f>'Graph Data'!$D$92:$BL$92</c:f>
              <c:numCache>
                <c:formatCode>0.0</c:formatCode>
                <c:ptCount val="61"/>
                <c:pt idx="0">
                  <c:v>0</c:v>
                </c:pt>
                <c:pt idx="1">
                  <c:v>1.3824884792626728</c:v>
                </c:pt>
                <c:pt idx="2">
                  <c:v>0.2304147465437788</c:v>
                </c:pt>
                <c:pt idx="3">
                  <c:v>0.46082949308755761</c:v>
                </c:pt>
                <c:pt idx="4">
                  <c:v>0.46082949308755761</c:v>
                </c:pt>
                <c:pt idx="5">
                  <c:v>0</c:v>
                </c:pt>
                <c:pt idx="6">
                  <c:v>1.6129032258064517</c:v>
                </c:pt>
                <c:pt idx="7">
                  <c:v>0.34562211981566821</c:v>
                </c:pt>
                <c:pt idx="8">
                  <c:v>0.69124423963133641</c:v>
                </c:pt>
                <c:pt idx="9">
                  <c:v>0.69124423963133641</c:v>
                </c:pt>
                <c:pt idx="10">
                  <c:v>0.69124423963133641</c:v>
                </c:pt>
                <c:pt idx="11">
                  <c:v>1.6129032258064517</c:v>
                </c:pt>
                <c:pt idx="12">
                  <c:v>0</c:v>
                </c:pt>
                <c:pt idx="13">
                  <c:v>0.80645161290322587</c:v>
                </c:pt>
                <c:pt idx="14">
                  <c:v>0.46082949308755761</c:v>
                </c:pt>
                <c:pt idx="15">
                  <c:v>0</c:v>
                </c:pt>
                <c:pt idx="16">
                  <c:v>0.46082949308755761</c:v>
                </c:pt>
                <c:pt idx="17">
                  <c:v>0</c:v>
                </c:pt>
                <c:pt idx="18">
                  <c:v>0.2304147465437788</c:v>
                </c:pt>
                <c:pt idx="19">
                  <c:v>0.92165898617511521</c:v>
                </c:pt>
                <c:pt idx="20">
                  <c:v>0.46082949308755761</c:v>
                </c:pt>
                <c:pt idx="21">
                  <c:v>1.1520737327188941</c:v>
                </c:pt>
                <c:pt idx="22">
                  <c:v>0.2304147465437788</c:v>
                </c:pt>
                <c:pt idx="23">
                  <c:v>1.1520737327188941</c:v>
                </c:pt>
                <c:pt idx="24">
                  <c:v>0.2304147465437788</c:v>
                </c:pt>
                <c:pt idx="25">
                  <c:v>0.2304147465437788</c:v>
                </c:pt>
                <c:pt idx="26">
                  <c:v>1.1520737327188941</c:v>
                </c:pt>
                <c:pt idx="27">
                  <c:v>1.6129032258064517</c:v>
                </c:pt>
                <c:pt idx="28">
                  <c:v>0.46082949308755761</c:v>
                </c:pt>
                <c:pt idx="29">
                  <c:v>0.69124423963133641</c:v>
                </c:pt>
                <c:pt idx="30">
                  <c:v>0.46082949308755761</c:v>
                </c:pt>
                <c:pt idx="31">
                  <c:v>1.1520737327188941</c:v>
                </c:pt>
                <c:pt idx="32">
                  <c:v>0.46082949308755761</c:v>
                </c:pt>
                <c:pt idx="33">
                  <c:v>1.3824884792626728</c:v>
                </c:pt>
                <c:pt idx="34">
                  <c:v>0.46082949308755761</c:v>
                </c:pt>
                <c:pt idx="35">
                  <c:v>0.2304147465437788</c:v>
                </c:pt>
                <c:pt idx="36">
                  <c:v>0.2304147465437788</c:v>
                </c:pt>
                <c:pt idx="37">
                  <c:v>0.1152073732718894</c:v>
                </c:pt>
                <c:pt idx="38">
                  <c:v>0.2304147465437788</c:v>
                </c:pt>
                <c:pt idx="39">
                  <c:v>0.46082949308755761</c:v>
                </c:pt>
                <c:pt idx="40">
                  <c:v>0.2304147465437788</c:v>
                </c:pt>
                <c:pt idx="41">
                  <c:v>0.92165898617511521</c:v>
                </c:pt>
                <c:pt idx="42">
                  <c:v>0.2304147465437788</c:v>
                </c:pt>
                <c:pt idx="43">
                  <c:v>0.2304147465437788</c:v>
                </c:pt>
                <c:pt idx="44">
                  <c:v>0</c:v>
                </c:pt>
                <c:pt idx="45">
                  <c:v>0</c:v>
                </c:pt>
                <c:pt idx="46">
                  <c:v>0.92165898617511521</c:v>
                </c:pt>
                <c:pt idx="47">
                  <c:v>0.46082949308755761</c:v>
                </c:pt>
                <c:pt idx="48">
                  <c:v>0.2304147465437788</c:v>
                </c:pt>
                <c:pt idx="49">
                  <c:v>0.34562211981566821</c:v>
                </c:pt>
                <c:pt idx="50">
                  <c:v>0.2304147465437788</c:v>
                </c:pt>
                <c:pt idx="51">
                  <c:v>0.46082949308755761</c:v>
                </c:pt>
                <c:pt idx="52">
                  <c:v>0.46082949308755761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0.46082949308755761</c:v>
                </c:pt>
                <c:pt idx="58">
                  <c:v>0.2304147465437788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08-44E4-A88B-642C7D529996}"/>
            </c:ext>
          </c:extLst>
        </c:ser>
        <c:ser>
          <c:idx val="0"/>
          <c:order val="7"/>
          <c:tx>
            <c:strRef>
              <c:f>'Graph Data'!$B$95</c:f>
              <c:strCache>
                <c:ptCount val="1"/>
                <c:pt idx="0">
                  <c:v>NS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Data'!$C$88:$BL$88</c15:sqref>
                  </c15:fullRef>
                </c:ext>
              </c:extLst>
              <c:f>'Graph Data'!$D$88:$BL$88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Data'!$C$95:$BL$95</c15:sqref>
                  </c15:fullRef>
                </c:ext>
              </c:extLst>
              <c:f>'Graph Data'!$D$95:$BL$95</c:f>
              <c:numCache>
                <c:formatCode>0.0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1.0362694300518136</c:v>
                </c:pt>
                <c:pt idx="9">
                  <c:v>0</c:v>
                </c:pt>
                <c:pt idx="10">
                  <c:v>1.0362694300518136</c:v>
                </c:pt>
                <c:pt idx="11">
                  <c:v>0</c:v>
                </c:pt>
                <c:pt idx="12">
                  <c:v>0</c:v>
                </c:pt>
                <c:pt idx="13">
                  <c:v>0.5181347150259068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1.0362694300518136</c:v>
                </c:pt>
                <c:pt idx="18">
                  <c:v>3.1088082901554404</c:v>
                </c:pt>
                <c:pt idx="19">
                  <c:v>1.0362694300518136</c:v>
                </c:pt>
                <c:pt idx="20">
                  <c:v>1.0362694300518136</c:v>
                </c:pt>
                <c:pt idx="21">
                  <c:v>2.0725388601036272</c:v>
                </c:pt>
                <c:pt idx="22">
                  <c:v>4.1450777202072544</c:v>
                </c:pt>
                <c:pt idx="23">
                  <c:v>0</c:v>
                </c:pt>
                <c:pt idx="24">
                  <c:v>6.2176165803108807</c:v>
                </c:pt>
                <c:pt idx="25">
                  <c:v>1.0362694300518136</c:v>
                </c:pt>
                <c:pt idx="26">
                  <c:v>3.1088082901554404</c:v>
                </c:pt>
                <c:pt idx="27">
                  <c:v>1.0362694300518136</c:v>
                </c:pt>
                <c:pt idx="28">
                  <c:v>0</c:v>
                </c:pt>
                <c:pt idx="29">
                  <c:v>1.0362694300518136</c:v>
                </c:pt>
                <c:pt idx="30">
                  <c:v>2.0725388601036272</c:v>
                </c:pt>
                <c:pt idx="31">
                  <c:v>3.6269430051813472</c:v>
                </c:pt>
                <c:pt idx="32">
                  <c:v>3.1088082901554404</c:v>
                </c:pt>
                <c:pt idx="33">
                  <c:v>0</c:v>
                </c:pt>
                <c:pt idx="34">
                  <c:v>3.1088082901554404</c:v>
                </c:pt>
                <c:pt idx="35">
                  <c:v>2.0725388601036272</c:v>
                </c:pt>
                <c:pt idx="36">
                  <c:v>1.0362694300518136</c:v>
                </c:pt>
                <c:pt idx="37">
                  <c:v>0.5181347150259068</c:v>
                </c:pt>
                <c:pt idx="38">
                  <c:v>0</c:v>
                </c:pt>
                <c:pt idx="39">
                  <c:v>3.1088082901554404</c:v>
                </c:pt>
                <c:pt idx="40">
                  <c:v>0</c:v>
                </c:pt>
                <c:pt idx="41">
                  <c:v>4.1450777202072544</c:v>
                </c:pt>
                <c:pt idx="42">
                  <c:v>0</c:v>
                </c:pt>
                <c:pt idx="43">
                  <c:v>0</c:v>
                </c:pt>
                <c:pt idx="44">
                  <c:v>1.0362694300518136</c:v>
                </c:pt>
                <c:pt idx="45">
                  <c:v>1.0362694300518136</c:v>
                </c:pt>
                <c:pt idx="46">
                  <c:v>1.0362694300518136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1.0362694300518136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1.0362694300518136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1.0362694300518136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08-44E4-A88B-642C7D529996}"/>
            </c:ext>
          </c:extLst>
        </c:ser>
        <c:ser>
          <c:idx val="9"/>
          <c:order val="8"/>
          <c:tx>
            <c:strRef>
              <c:f>'Graph Data'!$B$89</c:f>
              <c:strCache>
                <c:ptCount val="1"/>
                <c:pt idx="0">
                  <c:v>Ontario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Data'!$C$88:$BL$88</c15:sqref>
                  </c15:fullRef>
                </c:ext>
              </c:extLst>
              <c:f>'Graph Data'!$D$88:$BL$88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Data'!$C$89:$BL$89</c15:sqref>
                  </c15:fullRef>
                </c:ext>
              </c:extLst>
              <c:f>'Graph Data'!$D$89:$BL$89</c:f>
              <c:numCache>
                <c:formatCode>0.0</c:formatCode>
                <c:ptCount val="61"/>
                <c:pt idx="0">
                  <c:v>0.20761245674740486</c:v>
                </c:pt>
                <c:pt idx="1">
                  <c:v>0.83044982698961944</c:v>
                </c:pt>
                <c:pt idx="2">
                  <c:v>0</c:v>
                </c:pt>
                <c:pt idx="3">
                  <c:v>0.27681660899653981</c:v>
                </c:pt>
                <c:pt idx="4">
                  <c:v>1.1072664359861593</c:v>
                </c:pt>
                <c:pt idx="5">
                  <c:v>0.96885813148788935</c:v>
                </c:pt>
                <c:pt idx="6">
                  <c:v>1.8685121107266436</c:v>
                </c:pt>
                <c:pt idx="7">
                  <c:v>1.3148788927335642</c:v>
                </c:pt>
                <c:pt idx="8">
                  <c:v>1.453287197231834</c:v>
                </c:pt>
                <c:pt idx="9">
                  <c:v>1.453287197231834</c:v>
                </c:pt>
                <c:pt idx="10">
                  <c:v>1.7993079584775087</c:v>
                </c:pt>
                <c:pt idx="11">
                  <c:v>1.5224913494809689</c:v>
                </c:pt>
                <c:pt idx="12">
                  <c:v>2.1453287197231834</c:v>
                </c:pt>
                <c:pt idx="13">
                  <c:v>1.3148788927335642</c:v>
                </c:pt>
                <c:pt idx="14">
                  <c:v>2.9757785467128031</c:v>
                </c:pt>
                <c:pt idx="15">
                  <c:v>3.5294117647058827</c:v>
                </c:pt>
                <c:pt idx="16">
                  <c:v>2.6297577854671284</c:v>
                </c:pt>
                <c:pt idx="17">
                  <c:v>3.8062283737024223</c:v>
                </c:pt>
                <c:pt idx="18">
                  <c:v>2.4913494809688581</c:v>
                </c:pt>
                <c:pt idx="19">
                  <c:v>2.4221453287197234</c:v>
                </c:pt>
                <c:pt idx="20">
                  <c:v>2.6297577854671284</c:v>
                </c:pt>
                <c:pt idx="21">
                  <c:v>2.5605536332179932</c:v>
                </c:pt>
                <c:pt idx="22">
                  <c:v>3.7370242214532872</c:v>
                </c:pt>
                <c:pt idx="23">
                  <c:v>3.4602076124567476</c:v>
                </c:pt>
                <c:pt idx="24">
                  <c:v>3.3217993079584778</c:v>
                </c:pt>
                <c:pt idx="25">
                  <c:v>2.8027681660899657</c:v>
                </c:pt>
                <c:pt idx="26">
                  <c:v>4.0830449826989623</c:v>
                </c:pt>
                <c:pt idx="27">
                  <c:v>3.1141868512110729</c:v>
                </c:pt>
                <c:pt idx="28">
                  <c:v>5.9515570934256061</c:v>
                </c:pt>
                <c:pt idx="29">
                  <c:v>2.698961937716263</c:v>
                </c:pt>
                <c:pt idx="30">
                  <c:v>3.8062283737024223</c:v>
                </c:pt>
                <c:pt idx="31">
                  <c:v>4.2906574394463668</c:v>
                </c:pt>
                <c:pt idx="32">
                  <c:v>4.2214532871972317</c:v>
                </c:pt>
                <c:pt idx="33">
                  <c:v>4.7058823529411766</c:v>
                </c:pt>
                <c:pt idx="34">
                  <c:v>3.3217993079584778</c:v>
                </c:pt>
                <c:pt idx="35">
                  <c:v>4.3598615916955019</c:v>
                </c:pt>
                <c:pt idx="36">
                  <c:v>4.0830449826989623</c:v>
                </c:pt>
                <c:pt idx="37">
                  <c:v>2.4221453287197234</c:v>
                </c:pt>
                <c:pt idx="38">
                  <c:v>3.8754325259515574</c:v>
                </c:pt>
                <c:pt idx="39">
                  <c:v>2.7681660899653981</c:v>
                </c:pt>
                <c:pt idx="40">
                  <c:v>2.2837370242214532</c:v>
                </c:pt>
                <c:pt idx="41">
                  <c:v>1.8685121107266436</c:v>
                </c:pt>
                <c:pt idx="42">
                  <c:v>2.2837370242214532</c:v>
                </c:pt>
                <c:pt idx="43">
                  <c:v>1.591695501730104</c:v>
                </c:pt>
                <c:pt idx="44">
                  <c:v>1.0380622837370244</c:v>
                </c:pt>
                <c:pt idx="45">
                  <c:v>2.9757785467128031</c:v>
                </c:pt>
                <c:pt idx="46">
                  <c:v>2.1453287197231834</c:v>
                </c:pt>
                <c:pt idx="47">
                  <c:v>1.9377162629757787</c:v>
                </c:pt>
                <c:pt idx="48">
                  <c:v>1.8685121107266436</c:v>
                </c:pt>
                <c:pt idx="49">
                  <c:v>1.8685121107266436</c:v>
                </c:pt>
                <c:pt idx="50">
                  <c:v>1.453287197231834</c:v>
                </c:pt>
                <c:pt idx="51">
                  <c:v>2.2145328719723185</c:v>
                </c:pt>
                <c:pt idx="52">
                  <c:v>2.3529411764705883</c:v>
                </c:pt>
                <c:pt idx="53">
                  <c:v>2.8373702422145328</c:v>
                </c:pt>
                <c:pt idx="54">
                  <c:v>1.1764705882352942</c:v>
                </c:pt>
                <c:pt idx="55">
                  <c:v>1.0034602076124568</c:v>
                </c:pt>
                <c:pt idx="56">
                  <c:v>1.1764705882352942</c:v>
                </c:pt>
                <c:pt idx="57">
                  <c:v>1.3148788927335642</c:v>
                </c:pt>
                <c:pt idx="58">
                  <c:v>3.1141868512110729</c:v>
                </c:pt>
                <c:pt idx="59">
                  <c:v>1.0380622837370244</c:v>
                </c:pt>
                <c:pt idx="60">
                  <c:v>2.4221453287197234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8-44E4-A88B-642C7D529996}"/>
            </c:ext>
          </c:extLst>
        </c:ser>
        <c:ser>
          <c:idx val="1"/>
          <c:order val="9"/>
          <c:tx>
            <c:strRef>
              <c:f>'Graph Data'!$B$99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Data'!$C$88:$BL$88</c15:sqref>
                  </c15:fullRef>
                </c:ext>
              </c:extLst>
              <c:f>'Graph Data'!$D$88:$BL$88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Data'!$C$99:$BL$99</c15:sqref>
                  </c15:fullRef>
                </c:ext>
              </c:extLst>
              <c:f>'Graph Data'!$D$99:$BL$99</c:f>
              <c:numCache>
                <c:formatCode>0.0</c:formatCode>
                <c:ptCount val="61"/>
                <c:pt idx="0">
                  <c:v>0.21276595744680851</c:v>
                </c:pt>
                <c:pt idx="1">
                  <c:v>0.6914893617021276</c:v>
                </c:pt>
                <c:pt idx="2">
                  <c:v>0.31914893617021273</c:v>
                </c:pt>
                <c:pt idx="3">
                  <c:v>0.26595744680851063</c:v>
                </c:pt>
                <c:pt idx="4">
                  <c:v>0.71808510638297873</c:v>
                </c:pt>
                <c:pt idx="5">
                  <c:v>1.1702127659574468</c:v>
                </c:pt>
                <c:pt idx="6">
                  <c:v>1.3563829787234043</c:v>
                </c:pt>
                <c:pt idx="7">
                  <c:v>1.1835106382978724</c:v>
                </c:pt>
                <c:pt idx="8">
                  <c:v>1.5691489361702127</c:v>
                </c:pt>
                <c:pt idx="9">
                  <c:v>1.4361702127659575</c:v>
                </c:pt>
                <c:pt idx="10">
                  <c:v>1.9680851063829787</c:v>
                </c:pt>
                <c:pt idx="11">
                  <c:v>1.5957446808510638</c:v>
                </c:pt>
                <c:pt idx="12">
                  <c:v>2.2340425531914891</c:v>
                </c:pt>
                <c:pt idx="13">
                  <c:v>1.6888297872340425</c:v>
                </c:pt>
                <c:pt idx="14">
                  <c:v>3.1914893617021276</c:v>
                </c:pt>
                <c:pt idx="15">
                  <c:v>2.9255319148936167</c:v>
                </c:pt>
                <c:pt idx="16">
                  <c:v>4.9468085106382977</c:v>
                </c:pt>
                <c:pt idx="17">
                  <c:v>3.0319148936170213</c:v>
                </c:pt>
                <c:pt idx="18">
                  <c:v>4.2553191489361701</c:v>
                </c:pt>
                <c:pt idx="19">
                  <c:v>2.9255319148936167</c:v>
                </c:pt>
                <c:pt idx="20">
                  <c:v>3.8297872340425529</c:v>
                </c:pt>
                <c:pt idx="21">
                  <c:v>3.7234042553191489</c:v>
                </c:pt>
                <c:pt idx="22">
                  <c:v>4.6010638297872335</c:v>
                </c:pt>
                <c:pt idx="23">
                  <c:v>4.1223404255319149</c:v>
                </c:pt>
                <c:pt idx="24">
                  <c:v>4.3351063829787231</c:v>
                </c:pt>
                <c:pt idx="25">
                  <c:v>3.2180851063829787</c:v>
                </c:pt>
                <c:pt idx="26">
                  <c:v>4.042553191489362</c:v>
                </c:pt>
                <c:pt idx="27">
                  <c:v>3.6436170212765955</c:v>
                </c:pt>
                <c:pt idx="28">
                  <c:v>5</c:v>
                </c:pt>
                <c:pt idx="29">
                  <c:v>5.5053191489361701</c:v>
                </c:pt>
                <c:pt idx="30">
                  <c:v>4.6542553191489358</c:v>
                </c:pt>
                <c:pt idx="31">
                  <c:v>3.8297872340425529</c:v>
                </c:pt>
                <c:pt idx="32">
                  <c:v>5.0265957446808507</c:v>
                </c:pt>
                <c:pt idx="33">
                  <c:v>5.0265957446808507</c:v>
                </c:pt>
                <c:pt idx="34">
                  <c:v>4.5744680851063828</c:v>
                </c:pt>
                <c:pt idx="35">
                  <c:v>4.3882978723404253</c:v>
                </c:pt>
                <c:pt idx="36">
                  <c:v>3.2978723404255317</c:v>
                </c:pt>
                <c:pt idx="37">
                  <c:v>3.9893617021276593</c:v>
                </c:pt>
                <c:pt idx="38">
                  <c:v>4.6808510638297873</c:v>
                </c:pt>
                <c:pt idx="39">
                  <c:v>3.5904255319148937</c:v>
                </c:pt>
                <c:pt idx="40">
                  <c:v>4.4680851063829783</c:v>
                </c:pt>
                <c:pt idx="41">
                  <c:v>2.3936170212765955</c:v>
                </c:pt>
                <c:pt idx="42">
                  <c:v>3.1117021276595742</c:v>
                </c:pt>
                <c:pt idx="43">
                  <c:v>2.1675531914893615</c:v>
                </c:pt>
                <c:pt idx="44">
                  <c:v>1.8617021276595744</c:v>
                </c:pt>
                <c:pt idx="45">
                  <c:v>3.1648936170212765</c:v>
                </c:pt>
                <c:pt idx="46">
                  <c:v>3.2180851063829787</c:v>
                </c:pt>
                <c:pt idx="47">
                  <c:v>2.6063829787234041</c:v>
                </c:pt>
                <c:pt idx="48">
                  <c:v>2.7127659574468086</c:v>
                </c:pt>
                <c:pt idx="49">
                  <c:v>2.5664893617021276</c:v>
                </c:pt>
                <c:pt idx="50">
                  <c:v>2.5</c:v>
                </c:pt>
                <c:pt idx="51">
                  <c:v>3.3510638297872339</c:v>
                </c:pt>
                <c:pt idx="52">
                  <c:v>2.978723404255319</c:v>
                </c:pt>
                <c:pt idx="53">
                  <c:v>2.7127659574468086</c:v>
                </c:pt>
                <c:pt idx="54">
                  <c:v>2.5</c:v>
                </c:pt>
                <c:pt idx="55">
                  <c:v>3.3643617021276593</c:v>
                </c:pt>
                <c:pt idx="56">
                  <c:v>1.8351063829787233</c:v>
                </c:pt>
                <c:pt idx="57">
                  <c:v>2.7393617021276593</c:v>
                </c:pt>
                <c:pt idx="58">
                  <c:v>3.6968085106382977</c:v>
                </c:pt>
                <c:pt idx="59">
                  <c:v>1.7553191489361701</c:v>
                </c:pt>
                <c:pt idx="60">
                  <c:v>1.8617021276595744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08-44E4-A88B-642C7D529996}"/>
            </c:ext>
          </c:extLst>
        </c:ser>
        <c:ser>
          <c:idx val="8"/>
          <c:order val="10"/>
          <c:tx>
            <c:strRef>
              <c:f>'Graph Data'!$B$100</c:f>
              <c:strCache>
                <c:ptCount val="1"/>
                <c:pt idx="0">
                  <c:v>USA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25400"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Data'!$C$88:$BL$88</c15:sqref>
                  </c15:fullRef>
                </c:ext>
              </c:extLst>
              <c:f>'Graph Data'!$D$88:$BL$88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Data'!$C$100:$BL$100</c15:sqref>
                  </c15:fullRef>
                </c:ext>
              </c:extLst>
              <c:f>'Graph Data'!$D$100:$BL$100</c:f>
              <c:numCache>
                <c:formatCode>0.0</c:formatCode>
                <c:ptCount val="61"/>
                <c:pt idx="0">
                  <c:v>1.3302752293577982</c:v>
                </c:pt>
                <c:pt idx="1">
                  <c:v>2.978593272171254</c:v>
                </c:pt>
                <c:pt idx="2">
                  <c:v>2.4678899082568808</c:v>
                </c:pt>
                <c:pt idx="3">
                  <c:v>2.9174311926605503</c:v>
                </c:pt>
                <c:pt idx="4">
                  <c:v>3.3149847094801221</c:v>
                </c:pt>
                <c:pt idx="5">
                  <c:v>3.7981651376146788</c:v>
                </c:pt>
                <c:pt idx="6">
                  <c:v>4.1376146788990829</c:v>
                </c:pt>
                <c:pt idx="7">
                  <c:v>3.5795107033639142</c:v>
                </c:pt>
                <c:pt idx="8">
                  <c:v>5.8899082568807337</c:v>
                </c:pt>
                <c:pt idx="9">
                  <c:v>5.813455657492355</c:v>
                </c:pt>
                <c:pt idx="10">
                  <c:v>5.7400611620795106</c:v>
                </c:pt>
                <c:pt idx="11">
                  <c:v>5.9357798165137616</c:v>
                </c:pt>
                <c:pt idx="12">
                  <c:v>6.0366972477064218</c:v>
                </c:pt>
                <c:pt idx="13">
                  <c:v>4.6330275229357802</c:v>
                </c:pt>
                <c:pt idx="14">
                  <c:v>7.0305810397553516</c:v>
                </c:pt>
                <c:pt idx="15">
                  <c:v>7.620795107033639</c:v>
                </c:pt>
                <c:pt idx="16">
                  <c:v>13.097859327217126</c:v>
                </c:pt>
                <c:pt idx="17">
                  <c:v>12.63914373088685</c:v>
                </c:pt>
                <c:pt idx="18">
                  <c:v>7.4556574923547396</c:v>
                </c:pt>
                <c:pt idx="19">
                  <c:v>5.3516819571865444</c:v>
                </c:pt>
                <c:pt idx="20">
                  <c:v>6.8440366972477067</c:v>
                </c:pt>
                <c:pt idx="21">
                  <c:v>8.18960244648318</c:v>
                </c:pt>
                <c:pt idx="22">
                  <c:v>6.7828746177370034</c:v>
                </c:pt>
                <c:pt idx="23">
                  <c:v>4.5596330275229358</c:v>
                </c:pt>
                <c:pt idx="24">
                  <c:v>9.5321100917431192</c:v>
                </c:pt>
                <c:pt idx="25">
                  <c:v>3.1605504587155964</c:v>
                </c:pt>
                <c:pt idx="26">
                  <c:v>6.2354740061162079</c:v>
                </c:pt>
                <c:pt idx="27">
                  <c:v>6.9663608562691133</c:v>
                </c:pt>
                <c:pt idx="28">
                  <c:v>6.2079510703363914</c:v>
                </c:pt>
                <c:pt idx="29">
                  <c:v>7.2140672782874615</c:v>
                </c:pt>
                <c:pt idx="30">
                  <c:v>5.7859327217125385</c:v>
                </c:pt>
                <c:pt idx="31">
                  <c:v>3.7507645259938838</c:v>
                </c:pt>
                <c:pt idx="32">
                  <c:v>6.1100917431192663</c:v>
                </c:pt>
                <c:pt idx="33">
                  <c:v>8.1620795107033643</c:v>
                </c:pt>
                <c:pt idx="34">
                  <c:v>8.1100917431192663</c:v>
                </c:pt>
                <c:pt idx="35">
                  <c:v>4.287461773700306</c:v>
                </c:pt>
                <c:pt idx="36">
                  <c:v>5.3577981651376145</c:v>
                </c:pt>
                <c:pt idx="37">
                  <c:v>2.4587155963302751</c:v>
                </c:pt>
                <c:pt idx="38">
                  <c:v>5.09480122324159</c:v>
                </c:pt>
                <c:pt idx="39">
                  <c:v>4.9724770642201834</c:v>
                </c:pt>
                <c:pt idx="40">
                  <c:v>4.9938837920489298</c:v>
                </c:pt>
                <c:pt idx="41">
                  <c:v>4.8470948012232418</c:v>
                </c:pt>
                <c:pt idx="42">
                  <c:v>4.3761467889908259</c:v>
                </c:pt>
                <c:pt idx="43">
                  <c:v>3.3746177370030579</c:v>
                </c:pt>
                <c:pt idx="44">
                  <c:v>5.1773700305810397</c:v>
                </c:pt>
                <c:pt idx="45">
                  <c:v>3.1529051987767582</c:v>
                </c:pt>
                <c:pt idx="46">
                  <c:v>3.5076452599388381</c:v>
                </c:pt>
                <c:pt idx="47">
                  <c:v>5.5626911314984708</c:v>
                </c:pt>
                <c:pt idx="48">
                  <c:v>3.4801223241590216</c:v>
                </c:pt>
                <c:pt idx="49">
                  <c:v>1.915902140672783</c:v>
                </c:pt>
                <c:pt idx="50">
                  <c:v>1.7889908256880733</c:v>
                </c:pt>
                <c:pt idx="51">
                  <c:v>4.425076452599388</c:v>
                </c:pt>
                <c:pt idx="52">
                  <c:v>3.8929663608562692</c:v>
                </c:pt>
                <c:pt idx="53">
                  <c:v>3.5045871559633026</c:v>
                </c:pt>
                <c:pt idx="54">
                  <c:v>3.3516819571865444</c:v>
                </c:pt>
                <c:pt idx="55">
                  <c:v>2.0045871559633026</c:v>
                </c:pt>
                <c:pt idx="56">
                  <c:v>3.7951070336391437</c:v>
                </c:pt>
                <c:pt idx="57">
                  <c:v>3.0275229357798166</c:v>
                </c:pt>
                <c:pt idx="58">
                  <c:v>3.7064220183486238</c:v>
                </c:pt>
                <c:pt idx="59">
                  <c:v>3.926605504587156</c:v>
                </c:pt>
                <c:pt idx="60">
                  <c:v>2.0581039755351682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008-44E4-A88B-642C7D529996}"/>
            </c:ext>
          </c:extLst>
        </c:ser>
        <c:ser>
          <c:idx val="10"/>
          <c:order val="11"/>
          <c:tx>
            <c:strRef>
              <c:f>'Graph Data'!$B$90</c:f>
              <c:strCache>
                <c:ptCount val="1"/>
                <c:pt idx="0">
                  <c:v>Quebec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  <a:sp3d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'Graph Data'!$C$88:$BL$88</c15:sqref>
                  </c15:fullRef>
                </c:ext>
              </c:extLst>
              <c:f>'Graph Data'!$D$88:$BL$88</c:f>
              <c:strCache>
                <c:ptCount val="61"/>
                <c:pt idx="0">
                  <c:v>28/03/2020</c:v>
                </c:pt>
                <c:pt idx="1">
                  <c:v>30/03/2020</c:v>
                </c:pt>
                <c:pt idx="2">
                  <c:v>31/04/2020</c:v>
                </c:pt>
                <c:pt idx="3">
                  <c:v>01/04/2020</c:v>
                </c:pt>
                <c:pt idx="4">
                  <c:v>02/04/2020</c:v>
                </c:pt>
                <c:pt idx="5">
                  <c:v>03/04/2020</c:v>
                </c:pt>
                <c:pt idx="6">
                  <c:v>04/04/2020</c:v>
                </c:pt>
                <c:pt idx="7">
                  <c:v>06/04/2020</c:v>
                </c:pt>
                <c:pt idx="8">
                  <c:v>07/04/2020</c:v>
                </c:pt>
                <c:pt idx="9">
                  <c:v>08/04/2020</c:v>
                </c:pt>
                <c:pt idx="10">
                  <c:v>09/04/2020</c:v>
                </c:pt>
                <c:pt idx="11">
                  <c:v>10/04/2020</c:v>
                </c:pt>
                <c:pt idx="12">
                  <c:v>11/04/2020</c:v>
                </c:pt>
                <c:pt idx="13">
                  <c:v>13/04/2020</c:v>
                </c:pt>
                <c:pt idx="14">
                  <c:v>14/04/2020</c:v>
                </c:pt>
                <c:pt idx="15">
                  <c:v>15/04/2020</c:v>
                </c:pt>
                <c:pt idx="16">
                  <c:v>16/04/2020</c:v>
                </c:pt>
                <c:pt idx="17">
                  <c:v>17/04/2020</c:v>
                </c:pt>
                <c:pt idx="18">
                  <c:v>18/04/2020</c:v>
                </c:pt>
                <c:pt idx="19">
                  <c:v>20/04/2020</c:v>
                </c:pt>
                <c:pt idx="20">
                  <c:v>21/04/2020</c:v>
                </c:pt>
                <c:pt idx="21">
                  <c:v>22/04/2020</c:v>
                </c:pt>
                <c:pt idx="22">
                  <c:v>23/04/2020</c:v>
                </c:pt>
                <c:pt idx="23">
                  <c:v>24/04/2020</c:v>
                </c:pt>
                <c:pt idx="24">
                  <c:v>25/04/2020</c:v>
                </c:pt>
                <c:pt idx="25">
                  <c:v>27/04/2020</c:v>
                </c:pt>
                <c:pt idx="26">
                  <c:v>28/04/2020</c:v>
                </c:pt>
                <c:pt idx="27">
                  <c:v>29/04/2020</c:v>
                </c:pt>
                <c:pt idx="28">
                  <c:v>30/04/2020</c:v>
                </c:pt>
                <c:pt idx="29">
                  <c:v>01/05/2020</c:v>
                </c:pt>
                <c:pt idx="30">
                  <c:v>02/05/2020</c:v>
                </c:pt>
                <c:pt idx="31">
                  <c:v>04/05/2020</c:v>
                </c:pt>
                <c:pt idx="32">
                  <c:v>05/05/2020</c:v>
                </c:pt>
                <c:pt idx="33">
                  <c:v>06/05/2020</c:v>
                </c:pt>
                <c:pt idx="34">
                  <c:v>07/05/2020</c:v>
                </c:pt>
                <c:pt idx="35">
                  <c:v>08/05/2020</c:v>
                </c:pt>
                <c:pt idx="36">
                  <c:v>09/05/2020</c:v>
                </c:pt>
                <c:pt idx="37">
                  <c:v>11/05/2020</c:v>
                </c:pt>
                <c:pt idx="38">
                  <c:v>12/05/2020</c:v>
                </c:pt>
                <c:pt idx="39">
                  <c:v>13/05/2020</c:v>
                </c:pt>
                <c:pt idx="40">
                  <c:v>14/05/2020</c:v>
                </c:pt>
                <c:pt idx="41">
                  <c:v>15/05/2020</c:v>
                </c:pt>
                <c:pt idx="42">
                  <c:v>16/05/2020</c:v>
                </c:pt>
                <c:pt idx="43">
                  <c:v>18/05/2020</c:v>
                </c:pt>
                <c:pt idx="44">
                  <c:v>19/05/2020</c:v>
                </c:pt>
                <c:pt idx="45">
                  <c:v>20/05/2020</c:v>
                </c:pt>
                <c:pt idx="46">
                  <c:v>21/05/2020</c:v>
                </c:pt>
                <c:pt idx="47">
                  <c:v>22/05/2020</c:v>
                </c:pt>
                <c:pt idx="48">
                  <c:v>23/05/2020</c:v>
                </c:pt>
                <c:pt idx="49">
                  <c:v>25/05/2020</c:v>
                </c:pt>
                <c:pt idx="50">
                  <c:v>26/05/2020</c:v>
                </c:pt>
                <c:pt idx="51">
                  <c:v>27/05/2020</c:v>
                </c:pt>
                <c:pt idx="52">
                  <c:v>28/05/2020</c:v>
                </c:pt>
                <c:pt idx="53">
                  <c:v>29/05/2020</c:v>
                </c:pt>
                <c:pt idx="54">
                  <c:v>30/05/2020</c:v>
                </c:pt>
                <c:pt idx="55">
                  <c:v>01/06/2020</c:v>
                </c:pt>
                <c:pt idx="56">
                  <c:v>02/06/2020</c:v>
                </c:pt>
                <c:pt idx="57">
                  <c:v>03/06/2020</c:v>
                </c:pt>
                <c:pt idx="58">
                  <c:v>04/06/2020</c:v>
                </c:pt>
                <c:pt idx="59">
                  <c:v>05/06/2020</c:v>
                </c:pt>
                <c:pt idx="60">
                  <c:v>06/06/2020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Data'!$C$90:$BL$90</c15:sqref>
                  </c15:fullRef>
                </c:ext>
              </c:extLst>
              <c:f>'Graph Data'!$D$90:$BL$90</c:f>
              <c:numCache>
                <c:formatCode>0.0</c:formatCode>
                <c:ptCount val="61"/>
                <c:pt idx="0">
                  <c:v>0.47449584816132861</c:v>
                </c:pt>
                <c:pt idx="1">
                  <c:v>0.35587188612099646</c:v>
                </c:pt>
                <c:pt idx="2">
                  <c:v>0.71174377224199292</c:v>
                </c:pt>
                <c:pt idx="3">
                  <c:v>0.23724792408066431</c:v>
                </c:pt>
                <c:pt idx="4">
                  <c:v>0.35587188612099646</c:v>
                </c:pt>
                <c:pt idx="5">
                  <c:v>2.9655990510083039</c:v>
                </c:pt>
                <c:pt idx="6">
                  <c:v>1.66073546856465</c:v>
                </c:pt>
                <c:pt idx="7">
                  <c:v>2.7283511269276395</c:v>
                </c:pt>
                <c:pt idx="8">
                  <c:v>3.4400948991696323</c:v>
                </c:pt>
                <c:pt idx="9">
                  <c:v>2.9655990510083039</c:v>
                </c:pt>
                <c:pt idx="10">
                  <c:v>4.8635824436536179</c:v>
                </c:pt>
                <c:pt idx="11">
                  <c:v>2.9655990510083039</c:v>
                </c:pt>
                <c:pt idx="12">
                  <c:v>5.6939501779359434</c:v>
                </c:pt>
                <c:pt idx="13">
                  <c:v>4.2111506524317912</c:v>
                </c:pt>
                <c:pt idx="14">
                  <c:v>8.8967971530249113</c:v>
                </c:pt>
                <c:pt idx="15">
                  <c:v>6.1684460260972722</c:v>
                </c:pt>
                <c:pt idx="16">
                  <c:v>16.963226571767496</c:v>
                </c:pt>
                <c:pt idx="17">
                  <c:v>6.8801897983392646</c:v>
                </c:pt>
                <c:pt idx="18">
                  <c:v>13.879003558718862</c:v>
                </c:pt>
                <c:pt idx="19">
                  <c:v>7.9478054567022545</c:v>
                </c:pt>
                <c:pt idx="20">
                  <c:v>12.09964412811388</c:v>
                </c:pt>
                <c:pt idx="21">
                  <c:v>11.032028469750889</c:v>
                </c:pt>
                <c:pt idx="22">
                  <c:v>12.930011862396205</c:v>
                </c:pt>
                <c:pt idx="23">
                  <c:v>11.506524317912218</c:v>
                </c:pt>
                <c:pt idx="24">
                  <c:v>12.574139976275209</c:v>
                </c:pt>
                <c:pt idx="25">
                  <c:v>9.07473309608541</c:v>
                </c:pt>
                <c:pt idx="26">
                  <c:v>9.8457888493475689</c:v>
                </c:pt>
                <c:pt idx="27">
                  <c:v>9.3712930011862401</c:v>
                </c:pt>
                <c:pt idx="28">
                  <c:v>11.625148279952551</c:v>
                </c:pt>
                <c:pt idx="29">
                  <c:v>19.33570581257414</c:v>
                </c:pt>
                <c:pt idx="30">
                  <c:v>13.523131672597865</c:v>
                </c:pt>
                <c:pt idx="31">
                  <c:v>8.5409252669039155</c:v>
                </c:pt>
                <c:pt idx="32">
                  <c:v>13.997627520759194</c:v>
                </c:pt>
                <c:pt idx="33">
                  <c:v>13.2858837485172</c:v>
                </c:pt>
                <c:pt idx="34">
                  <c:v>14.353499406880191</c:v>
                </c:pt>
                <c:pt idx="35">
                  <c:v>11.150652431791222</c:v>
                </c:pt>
                <c:pt idx="36">
                  <c:v>7.2360616844602612</c:v>
                </c:pt>
                <c:pt idx="37">
                  <c:v>13.463819691577699</c:v>
                </c:pt>
                <c:pt idx="38">
                  <c:v>13.997627520759194</c:v>
                </c:pt>
                <c:pt idx="39">
                  <c:v>10.557532621589562</c:v>
                </c:pt>
                <c:pt idx="40">
                  <c:v>15.539739027283511</c:v>
                </c:pt>
                <c:pt idx="41">
                  <c:v>5.9311981020166078</c:v>
                </c:pt>
                <c:pt idx="42">
                  <c:v>9.7271648873072358</c:v>
                </c:pt>
                <c:pt idx="43">
                  <c:v>6.7022538552787667</c:v>
                </c:pt>
                <c:pt idx="44">
                  <c:v>6.04982206405694</c:v>
                </c:pt>
                <c:pt idx="45">
                  <c:v>8.4223013048635824</c:v>
                </c:pt>
                <c:pt idx="46">
                  <c:v>9.7271648873072358</c:v>
                </c:pt>
                <c:pt idx="47">
                  <c:v>7.71055753262159</c:v>
                </c:pt>
                <c:pt idx="48">
                  <c:v>8.8967971530249113</c:v>
                </c:pt>
                <c:pt idx="49">
                  <c:v>7.6512455516014235</c:v>
                </c:pt>
                <c:pt idx="50">
                  <c:v>8.3036773428232511</c:v>
                </c:pt>
                <c:pt idx="51">
                  <c:v>10.557532621589562</c:v>
                </c:pt>
                <c:pt idx="52">
                  <c:v>8.7781731909845799</c:v>
                </c:pt>
                <c:pt idx="53">
                  <c:v>7.2360616844602612</c:v>
                </c:pt>
                <c:pt idx="54">
                  <c:v>9.0154211150652444</c:v>
                </c:pt>
                <c:pt idx="55">
                  <c:v>13.167259786476869</c:v>
                </c:pt>
                <c:pt idx="56">
                  <c:v>6.1684460260972722</c:v>
                </c:pt>
                <c:pt idx="57">
                  <c:v>9.6085409252669045</c:v>
                </c:pt>
                <c:pt idx="58">
                  <c:v>10.794780545670227</c:v>
                </c:pt>
                <c:pt idx="59">
                  <c:v>5.9311981020166078</c:v>
                </c:pt>
                <c:pt idx="60">
                  <c:v>4.1518386714116255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8-44E4-A88B-642C7D529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080640"/>
        <c:axId val="157079000"/>
        <c:axId val="234275784"/>
      </c:area3DChart>
      <c:catAx>
        <c:axId val="15708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79000"/>
        <c:crosses val="autoZero"/>
        <c:auto val="1"/>
        <c:lblAlgn val="ctr"/>
        <c:lblOffset val="100"/>
        <c:tickLblSkip val="3"/>
        <c:noMultiLvlLbl val="0"/>
      </c:catAx>
      <c:valAx>
        <c:axId val="15707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0640"/>
        <c:crosses val="autoZero"/>
        <c:crossBetween val="midCat"/>
      </c:valAx>
      <c:serAx>
        <c:axId val="2342757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79000"/>
        <c:crosses val="autoZero"/>
        <c:tickLblSkip val="1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000"/>
              <a:t>Case Status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Recovered</c:v>
          </c:tx>
          <c:spPr>
            <a:solidFill>
              <a:schemeClr val="accent1"/>
            </a:solidFill>
            <a:ln w="19050">
              <a:solidFill>
                <a:schemeClr val="accent1"/>
              </a:solidFill>
            </a:ln>
            <a:effectLst/>
          </c:spPr>
          <c:invertIfNegative val="0"/>
          <c:cat>
            <c:strRef>
              <c:f>Data!$B$927:$B$938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Data!$J$927:$J$938</c:f>
              <c:numCache>
                <c:formatCode>_-* #,##0_-;\-* #,##0_-;_-* "-"??_-;_-@_-</c:formatCode>
                <c:ptCount val="12"/>
                <c:pt idx="0">
                  <c:v>2243.7370242214533</c:v>
                </c:pt>
                <c:pt idx="1">
                  <c:v>3057.2953736654804</c:v>
                </c:pt>
                <c:pt idx="2">
                  <c:v>533.66533864541839</c:v>
                </c:pt>
                <c:pt idx="3">
                  <c:v>1807.3732718894009</c:v>
                </c:pt>
                <c:pt idx="4">
                  <c:v>230.88235294117646</c:v>
                </c:pt>
                <c:pt idx="5">
                  <c:v>647.008547008547</c:v>
                </c:pt>
                <c:pt idx="6">
                  <c:v>1036.2694300518135</c:v>
                </c:pt>
                <c:pt idx="7">
                  <c:v>211.13989637305698</c:v>
                </c:pt>
                <c:pt idx="8">
                  <c:v>175.32467532467533</c:v>
                </c:pt>
                <c:pt idx="9">
                  <c:v>492.36641221374043</c:v>
                </c:pt>
                <c:pt idx="10">
                  <c:v>1895.3723404255318</c:v>
                </c:pt>
                <c:pt idx="11">
                  <c:v>4524.8256880733943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B-4559-8651-55350165046F}"/>
            </c:ext>
          </c:extLst>
        </c:ser>
        <c:ser>
          <c:idx val="2"/>
          <c:order val="2"/>
          <c:tx>
            <c:v>Active</c:v>
          </c:tx>
          <c:spPr>
            <a:solidFill>
              <a:schemeClr val="accent3"/>
            </a:solidFill>
            <a:ln w="19050">
              <a:solidFill>
                <a:schemeClr val="bg2">
                  <a:lumMod val="75000"/>
                </a:schemeClr>
              </a:solidFill>
            </a:ln>
            <a:effectLst/>
          </c:spPr>
          <c:invertIfNegative val="0"/>
          <c:cat>
            <c:strRef>
              <c:f>Data!$B$927:$B$938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Data!$Q$927:$Q$938</c:f>
              <c:numCache>
                <c:formatCode>0</c:formatCode>
                <c:ptCount val="12"/>
                <c:pt idx="0">
                  <c:v>100.76124567474049</c:v>
                </c:pt>
                <c:pt idx="1">
                  <c:v>2967.2597864768686</c:v>
                </c:pt>
                <c:pt idx="2">
                  <c:v>37.250996015936259</c:v>
                </c:pt>
                <c:pt idx="3">
                  <c:v>136.40552995391707</c:v>
                </c:pt>
                <c:pt idx="4">
                  <c:v>2.9411764705882351</c:v>
                </c:pt>
                <c:pt idx="5">
                  <c:v>36.752136752136757</c:v>
                </c:pt>
                <c:pt idx="6">
                  <c:v>3.1088082901554404</c:v>
                </c:pt>
                <c:pt idx="7">
                  <c:v>1.2953367875647668</c:v>
                </c:pt>
                <c:pt idx="8">
                  <c:v>38.961038961038959</c:v>
                </c:pt>
                <c:pt idx="9">
                  <c:v>1.9083969465648853</c:v>
                </c:pt>
                <c:pt idx="10">
                  <c:v>726.25</c:v>
                </c:pt>
                <c:pt idx="11">
                  <c:v>5255.8532110091746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7B-4559-8651-55350165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33193168"/>
        <c:axId val="633191856"/>
      </c:barChart>
      <c:lineChart>
        <c:grouping val="stacked"/>
        <c:varyColors val="0"/>
        <c:ser>
          <c:idx val="1"/>
          <c:order val="1"/>
          <c:tx>
            <c:v>Deceased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Data!$B$927:$B$938</c:f>
              <c:strCache>
                <c:ptCount val="12"/>
                <c:pt idx="0">
                  <c:v>ON</c:v>
                </c:pt>
                <c:pt idx="1">
                  <c:v>QC</c:v>
                </c:pt>
                <c:pt idx="2">
                  <c:v>BC</c:v>
                </c:pt>
                <c:pt idx="3">
                  <c:v>AL</c:v>
                </c:pt>
                <c:pt idx="4">
                  <c:v>MA</c:v>
                </c:pt>
                <c:pt idx="5">
                  <c:v>SA</c:v>
                </c:pt>
                <c:pt idx="6">
                  <c:v>NS</c:v>
                </c:pt>
                <c:pt idx="7">
                  <c:v>NB</c:v>
                </c:pt>
                <c:pt idx="8">
                  <c:v>PEI</c:v>
                </c:pt>
                <c:pt idx="9">
                  <c:v>NFLD</c:v>
                </c:pt>
                <c:pt idx="10">
                  <c:v>Canada</c:v>
                </c:pt>
                <c:pt idx="11">
                  <c:v>USA</c:v>
                </c:pt>
              </c:strCache>
            </c:strRef>
          </c:cat>
          <c:val>
            <c:numRef>
              <c:f>Data!$O$927:$O$938</c:f>
              <c:numCache>
                <c:formatCode>0.00</c:formatCode>
                <c:ptCount val="12"/>
                <c:pt idx="0">
                  <c:v>187.95847750865053</c:v>
                </c:pt>
                <c:pt idx="1">
                  <c:v>666.66666666666674</c:v>
                </c:pt>
                <c:pt idx="2">
                  <c:v>37.250996015936259</c:v>
                </c:pt>
                <c:pt idx="3">
                  <c:v>36.866359447004612</c:v>
                </c:pt>
                <c:pt idx="4">
                  <c:v>5.1470588235294112</c:v>
                </c:pt>
                <c:pt idx="5">
                  <c:v>12.820512820512821</c:v>
                </c:pt>
                <c:pt idx="6">
                  <c:v>65.284974093264253</c:v>
                </c:pt>
                <c:pt idx="7">
                  <c:v>2.5906735751295336</c:v>
                </c:pt>
                <c:pt idx="8">
                  <c:v>0</c:v>
                </c:pt>
                <c:pt idx="9">
                  <c:v>5.7251908396946565</c:v>
                </c:pt>
                <c:pt idx="10">
                  <c:v>233.32446808510636</c:v>
                </c:pt>
                <c:pt idx="11">
                  <c:v>419.61162079510706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7B-4559-8651-55350165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676464"/>
        <c:axId val="630693520"/>
      </c:lineChart>
      <c:catAx>
        <c:axId val="6331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191856"/>
        <c:crosses val="autoZero"/>
        <c:auto val="1"/>
        <c:lblAlgn val="ctr"/>
        <c:lblOffset val="100"/>
        <c:noMultiLvlLbl val="0"/>
      </c:catAx>
      <c:valAx>
        <c:axId val="633191856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Recovered / Active Per Ten-Thousand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193168"/>
        <c:crosses val="autoZero"/>
        <c:crossBetween val="between"/>
        <c:dispUnits>
          <c:builtInUnit val="hundreds"/>
        </c:dispUnits>
      </c:valAx>
      <c:valAx>
        <c:axId val="630693520"/>
        <c:scaling>
          <c:orientation val="minMax"/>
          <c:max val="1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Deceased</a:t>
                </a:r>
                <a:r>
                  <a:rPr lang="en-CA" baseline="0"/>
                  <a:t> Per Ten-Thousand</a:t>
                </a:r>
                <a:endParaRPr lang="en-CA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676464"/>
        <c:crosses val="max"/>
        <c:crossBetween val="between"/>
        <c:dispUnits>
          <c:builtInUnit val="hundreds"/>
        </c:dispUnits>
      </c:valAx>
      <c:catAx>
        <c:axId val="630676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069352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sq" cmpd="sng" algn="ctr">
      <a:solidFill>
        <a:schemeClr val="tx1">
          <a:lumMod val="15000"/>
          <a:lumOff val="85000"/>
        </a:schemeClr>
      </a:solidFill>
      <a:bevel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/Relationships>
</file>

<file path=xl/drawings/_rels/drawing5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2.xml"/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Relationship Id="rId9" Type="http://schemas.openxmlformats.org/officeDocument/2006/relationships/chart" Target="../charts/chart53.xml"/></Relationships>
</file>

<file path=xl/drawings/_rels/drawing6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1.xml"/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10" Type="http://schemas.openxmlformats.org/officeDocument/2006/relationships/chart" Target="../charts/chart63.xml"/><Relationship Id="rId4" Type="http://schemas.openxmlformats.org/officeDocument/2006/relationships/chart" Target="../charts/chart57.xml"/><Relationship Id="rId9" Type="http://schemas.openxmlformats.org/officeDocument/2006/relationships/chart" Target="../charts/chart62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1</xdr:row>
      <xdr:rowOff>0</xdr:rowOff>
    </xdr:from>
    <xdr:to>
      <xdr:col>10</xdr:col>
      <xdr:colOff>609600</xdr:colOff>
      <xdr:row>24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11</xdr:col>
      <xdr:colOff>0</xdr:colOff>
      <xdr:row>48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11</xdr:col>
      <xdr:colOff>0</xdr:colOff>
      <xdr:row>71</xdr:row>
      <xdr:rowOff>175260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167640</xdr:rowOff>
    </xdr:from>
    <xdr:to>
      <xdr:col>11</xdr:col>
      <xdr:colOff>0</xdr:colOff>
      <xdr:row>95</xdr:row>
      <xdr:rowOff>175260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96</xdr:row>
      <xdr:rowOff>175260</xdr:rowOff>
    </xdr:from>
    <xdr:to>
      <xdr:col>11</xdr:col>
      <xdr:colOff>0</xdr:colOff>
      <xdr:row>120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120</xdr:row>
      <xdr:rowOff>167640</xdr:rowOff>
    </xdr:from>
    <xdr:to>
      <xdr:col>11</xdr:col>
      <xdr:colOff>0</xdr:colOff>
      <xdr:row>143</xdr:row>
      <xdr:rowOff>175260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7620</xdr:colOff>
      <xdr:row>144</xdr:row>
      <xdr:rowOff>175260</xdr:rowOff>
    </xdr:from>
    <xdr:to>
      <xdr:col>11</xdr:col>
      <xdr:colOff>7620</xdr:colOff>
      <xdr:row>168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169</xdr:row>
      <xdr:rowOff>0</xdr:rowOff>
    </xdr:from>
    <xdr:to>
      <xdr:col>11</xdr:col>
      <xdr:colOff>0</xdr:colOff>
      <xdr:row>192</xdr:row>
      <xdr:rowOff>7620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193</xdr:row>
      <xdr:rowOff>0</xdr:rowOff>
    </xdr:from>
    <xdr:to>
      <xdr:col>11</xdr:col>
      <xdr:colOff>0</xdr:colOff>
      <xdr:row>216</xdr:row>
      <xdr:rowOff>7620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0.85802</cdr:x>
      <cdr:y>0.87462</cdr:y>
    </cdr:from>
    <cdr:to>
      <cdr:x>1</cdr:x>
      <cdr:y>0.9777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295871" y="3685525"/>
          <a:ext cx="876329" cy="4343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July 11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1</xdr:row>
      <xdr:rowOff>0</xdr:rowOff>
    </xdr:from>
    <xdr:to>
      <xdr:col>10</xdr:col>
      <xdr:colOff>609600</xdr:colOff>
      <xdr:row>24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11</xdr:col>
      <xdr:colOff>0</xdr:colOff>
      <xdr:row>48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11</xdr:col>
      <xdr:colOff>0</xdr:colOff>
      <xdr:row>71</xdr:row>
      <xdr:rowOff>175260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167640</xdr:rowOff>
    </xdr:from>
    <xdr:to>
      <xdr:col>11</xdr:col>
      <xdr:colOff>0</xdr:colOff>
      <xdr:row>95</xdr:row>
      <xdr:rowOff>175260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96</xdr:row>
      <xdr:rowOff>175260</xdr:rowOff>
    </xdr:from>
    <xdr:to>
      <xdr:col>11</xdr:col>
      <xdr:colOff>0</xdr:colOff>
      <xdr:row>120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120</xdr:row>
      <xdr:rowOff>167640</xdr:rowOff>
    </xdr:from>
    <xdr:to>
      <xdr:col>11</xdr:col>
      <xdr:colOff>0</xdr:colOff>
      <xdr:row>143</xdr:row>
      <xdr:rowOff>175260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7620</xdr:colOff>
      <xdr:row>144</xdr:row>
      <xdr:rowOff>175260</xdr:rowOff>
    </xdr:from>
    <xdr:to>
      <xdr:col>11</xdr:col>
      <xdr:colOff>7620</xdr:colOff>
      <xdr:row>168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169</xdr:row>
      <xdr:rowOff>0</xdr:rowOff>
    </xdr:from>
    <xdr:to>
      <xdr:col>11</xdr:col>
      <xdr:colOff>0</xdr:colOff>
      <xdr:row>192</xdr:row>
      <xdr:rowOff>7620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193</xdr:row>
      <xdr:rowOff>0</xdr:rowOff>
    </xdr:from>
    <xdr:to>
      <xdr:col>11</xdr:col>
      <xdr:colOff>0</xdr:colOff>
      <xdr:row>216</xdr:row>
      <xdr:rowOff>7620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0.45062</cdr:x>
      <cdr:y>0.19746</cdr:y>
    </cdr:from>
    <cdr:to>
      <cdr:x>0.61111</cdr:x>
      <cdr:y>0.30072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81300" y="830580"/>
          <a:ext cx="9906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CA" sz="1100"/>
            <a:t>July</a:t>
          </a:r>
          <a:r>
            <a:rPr lang="en-CA" sz="1100" baseline="0"/>
            <a:t> 4 </a:t>
          </a:r>
          <a:r>
            <a:rPr lang="en-CA" sz="1100"/>
            <a:t>and </a:t>
          </a:r>
        </a:p>
        <a:p xmlns:a="http://schemas.openxmlformats.org/drawingml/2006/main">
          <a:pPr algn="ctr"/>
          <a:r>
            <a:rPr lang="en-CA" sz="1100"/>
            <a:t>June 4 </a:t>
          </a:r>
          <a:r>
            <a:rPr lang="en-CA" sz="1100" baseline="0"/>
            <a:t>2020</a:t>
          </a:r>
          <a:endParaRPr lang="en-CA" sz="110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July 4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0.85514</cdr:x>
      <cdr:y>0.0121</cdr:y>
    </cdr:from>
    <cdr:to>
      <cdr:x>0.99712</cdr:x>
      <cdr:y>0.11555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278120" y="508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July 4</a:t>
          </a:r>
          <a:endParaRPr lang="en-CA" sz="1100" baseline="0"/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July 4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July 4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July 4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July 4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July 4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0.45062</cdr:x>
      <cdr:y>0.19746</cdr:y>
    </cdr:from>
    <cdr:to>
      <cdr:x>0.61111</cdr:x>
      <cdr:y>0.30072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81300" y="830580"/>
          <a:ext cx="9906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CA" sz="1100"/>
            <a:t>July</a:t>
          </a:r>
          <a:r>
            <a:rPr lang="en-CA" sz="1100" baseline="0"/>
            <a:t> 11 </a:t>
          </a:r>
          <a:r>
            <a:rPr lang="en-CA" sz="1100"/>
            <a:t>and </a:t>
          </a:r>
        </a:p>
        <a:p xmlns:a="http://schemas.openxmlformats.org/drawingml/2006/main">
          <a:pPr algn="ctr"/>
          <a:r>
            <a:rPr lang="en-CA" sz="1100"/>
            <a:t>June 13 </a:t>
          </a:r>
          <a:r>
            <a:rPr lang="en-CA" sz="1100" baseline="0"/>
            <a:t>2020</a:t>
          </a:r>
          <a:endParaRPr lang="en-CA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0.85802</cdr:x>
      <cdr:y>0.87462</cdr:y>
    </cdr:from>
    <cdr:to>
      <cdr:x>1</cdr:x>
      <cdr:y>0.9777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295871" y="3685525"/>
          <a:ext cx="876329" cy="4343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July 4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1</xdr:row>
      <xdr:rowOff>0</xdr:rowOff>
    </xdr:from>
    <xdr:to>
      <xdr:col>10</xdr:col>
      <xdr:colOff>609600</xdr:colOff>
      <xdr:row>24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11</xdr:col>
      <xdr:colOff>0</xdr:colOff>
      <xdr:row>48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11</xdr:col>
      <xdr:colOff>0</xdr:colOff>
      <xdr:row>71</xdr:row>
      <xdr:rowOff>175260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167640</xdr:rowOff>
    </xdr:from>
    <xdr:to>
      <xdr:col>11</xdr:col>
      <xdr:colOff>0</xdr:colOff>
      <xdr:row>95</xdr:row>
      <xdr:rowOff>175260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96</xdr:row>
      <xdr:rowOff>175260</xdr:rowOff>
    </xdr:from>
    <xdr:to>
      <xdr:col>11</xdr:col>
      <xdr:colOff>0</xdr:colOff>
      <xdr:row>120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120</xdr:row>
      <xdr:rowOff>167640</xdr:rowOff>
    </xdr:from>
    <xdr:to>
      <xdr:col>11</xdr:col>
      <xdr:colOff>0</xdr:colOff>
      <xdr:row>143</xdr:row>
      <xdr:rowOff>175260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7620</xdr:colOff>
      <xdr:row>144</xdr:row>
      <xdr:rowOff>175260</xdr:rowOff>
    </xdr:from>
    <xdr:to>
      <xdr:col>11</xdr:col>
      <xdr:colOff>7620</xdr:colOff>
      <xdr:row>168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169</xdr:row>
      <xdr:rowOff>0</xdr:rowOff>
    </xdr:from>
    <xdr:to>
      <xdr:col>11</xdr:col>
      <xdr:colOff>0</xdr:colOff>
      <xdr:row>192</xdr:row>
      <xdr:rowOff>7620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0.45062</cdr:x>
      <cdr:y>0.19746</cdr:y>
    </cdr:from>
    <cdr:to>
      <cdr:x>0.61111</cdr:x>
      <cdr:y>0.30072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81300" y="830580"/>
          <a:ext cx="9906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CA" sz="1100"/>
            <a:t>June 27 and </a:t>
          </a:r>
        </a:p>
        <a:p xmlns:a="http://schemas.openxmlformats.org/drawingml/2006/main">
          <a:pPr algn="ctr"/>
          <a:r>
            <a:rPr lang="en-CA" sz="1100"/>
            <a:t>May 27 </a:t>
          </a:r>
          <a:r>
            <a:rPr lang="en-CA" sz="1100" baseline="0"/>
            <a:t>2020</a:t>
          </a:r>
          <a:endParaRPr lang="en-CA" sz="1100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</a:t>
          </a:r>
          <a:r>
            <a:rPr lang="en-CA" sz="1100" baseline="0"/>
            <a:t> 27</a:t>
          </a:r>
          <a:endParaRPr lang="en-CA" sz="1100"/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0.85514</cdr:x>
      <cdr:y>0.0121</cdr:y>
    </cdr:from>
    <cdr:to>
      <cdr:x>0.99712</cdr:x>
      <cdr:y>0.11555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278120" y="508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</a:t>
          </a:r>
          <a:r>
            <a:rPr lang="en-CA" sz="1100" baseline="0"/>
            <a:t> 27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27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27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27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27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27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July 11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1</xdr:row>
      <xdr:rowOff>0</xdr:rowOff>
    </xdr:from>
    <xdr:to>
      <xdr:col>10</xdr:col>
      <xdr:colOff>609600</xdr:colOff>
      <xdr:row>24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11</xdr:col>
      <xdr:colOff>0</xdr:colOff>
      <xdr:row>48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11</xdr:col>
      <xdr:colOff>0</xdr:colOff>
      <xdr:row>71</xdr:row>
      <xdr:rowOff>175260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167640</xdr:rowOff>
    </xdr:from>
    <xdr:to>
      <xdr:col>11</xdr:col>
      <xdr:colOff>0</xdr:colOff>
      <xdr:row>95</xdr:row>
      <xdr:rowOff>175260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96</xdr:row>
      <xdr:rowOff>175260</xdr:rowOff>
    </xdr:from>
    <xdr:to>
      <xdr:col>11</xdr:col>
      <xdr:colOff>0</xdr:colOff>
      <xdr:row>120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120</xdr:row>
      <xdr:rowOff>167640</xdr:rowOff>
    </xdr:from>
    <xdr:to>
      <xdr:col>11</xdr:col>
      <xdr:colOff>0</xdr:colOff>
      <xdr:row>143</xdr:row>
      <xdr:rowOff>175260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7620</xdr:colOff>
      <xdr:row>144</xdr:row>
      <xdr:rowOff>175260</xdr:rowOff>
    </xdr:from>
    <xdr:to>
      <xdr:col>11</xdr:col>
      <xdr:colOff>7620</xdr:colOff>
      <xdr:row>168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169</xdr:row>
      <xdr:rowOff>0</xdr:rowOff>
    </xdr:from>
    <xdr:to>
      <xdr:col>11</xdr:col>
      <xdr:colOff>0</xdr:colOff>
      <xdr:row>192</xdr:row>
      <xdr:rowOff>7620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0.45062</cdr:x>
      <cdr:y>0.19746</cdr:y>
    </cdr:from>
    <cdr:to>
      <cdr:x>0.61111</cdr:x>
      <cdr:y>0.30072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81300" y="830580"/>
          <a:ext cx="9906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CA" sz="1100"/>
            <a:t>June 20 and </a:t>
          </a:r>
        </a:p>
        <a:p xmlns:a="http://schemas.openxmlformats.org/drawingml/2006/main">
          <a:pPr algn="ctr"/>
          <a:r>
            <a:rPr lang="en-CA" sz="1100"/>
            <a:t>May 20 </a:t>
          </a:r>
          <a:r>
            <a:rPr lang="en-CA" sz="1100" baseline="0"/>
            <a:t>2020</a:t>
          </a:r>
          <a:endParaRPr lang="en-CA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</a:t>
          </a:r>
          <a:r>
            <a:rPr lang="en-CA" sz="1100" baseline="0"/>
            <a:t> 20</a:t>
          </a:r>
          <a:endParaRPr lang="en-CA" sz="1100"/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0.85514</cdr:x>
      <cdr:y>0.0121</cdr:y>
    </cdr:from>
    <cdr:to>
      <cdr:x>0.99712</cdr:x>
      <cdr:y>0.11555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278120" y="508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</a:t>
          </a:r>
          <a:r>
            <a:rPr lang="en-CA" sz="1100" baseline="0"/>
            <a:t> 20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20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20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20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20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20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1</xdr:row>
      <xdr:rowOff>0</xdr:rowOff>
    </xdr:from>
    <xdr:to>
      <xdr:col>10</xdr:col>
      <xdr:colOff>609600</xdr:colOff>
      <xdr:row>24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11</xdr:col>
      <xdr:colOff>0</xdr:colOff>
      <xdr:row>48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601980</xdr:colOff>
      <xdr:row>49</xdr:row>
      <xdr:rowOff>7620</xdr:rowOff>
    </xdr:from>
    <xdr:to>
      <xdr:col>10</xdr:col>
      <xdr:colOff>609600</xdr:colOff>
      <xdr:row>72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73</xdr:row>
      <xdr:rowOff>0</xdr:rowOff>
    </xdr:from>
    <xdr:to>
      <xdr:col>11</xdr:col>
      <xdr:colOff>7620</xdr:colOff>
      <xdr:row>95</xdr:row>
      <xdr:rowOff>175260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11</xdr:col>
      <xdr:colOff>0</xdr:colOff>
      <xdr:row>120</xdr:row>
      <xdr:rowOff>7620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121</xdr:row>
      <xdr:rowOff>0</xdr:rowOff>
    </xdr:from>
    <xdr:to>
      <xdr:col>11</xdr:col>
      <xdr:colOff>0</xdr:colOff>
      <xdr:row>144</xdr:row>
      <xdr:rowOff>7620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145</xdr:row>
      <xdr:rowOff>0</xdr:rowOff>
    </xdr:from>
    <xdr:to>
      <xdr:col>11</xdr:col>
      <xdr:colOff>0</xdr:colOff>
      <xdr:row>168</xdr:row>
      <xdr:rowOff>7620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169</xdr:row>
      <xdr:rowOff>0</xdr:rowOff>
    </xdr:from>
    <xdr:to>
      <xdr:col>11</xdr:col>
      <xdr:colOff>0</xdr:colOff>
      <xdr:row>192</xdr:row>
      <xdr:rowOff>7620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193</xdr:row>
      <xdr:rowOff>0</xdr:rowOff>
    </xdr:from>
    <xdr:to>
      <xdr:col>11</xdr:col>
      <xdr:colOff>0</xdr:colOff>
      <xdr:row>216</xdr:row>
      <xdr:rowOff>7620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217</xdr:row>
      <xdr:rowOff>0</xdr:rowOff>
    </xdr:from>
    <xdr:to>
      <xdr:col>11</xdr:col>
      <xdr:colOff>0</xdr:colOff>
      <xdr:row>240</xdr:row>
      <xdr:rowOff>7620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0.85514</cdr:x>
      <cdr:y>0.0121</cdr:y>
    </cdr:from>
    <cdr:to>
      <cdr:x>0.99712</cdr:x>
      <cdr:y>0.11555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278120" y="508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July 11</a:t>
          </a:r>
          <a:endParaRPr lang="en-CA" sz="1100" baseline="0"/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0.45062</cdr:x>
      <cdr:y>0.19746</cdr:y>
    </cdr:from>
    <cdr:to>
      <cdr:x>0.61111</cdr:x>
      <cdr:y>0.30072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81300" y="830580"/>
          <a:ext cx="9906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CA" sz="1100"/>
            <a:t>June 13 and </a:t>
          </a:r>
        </a:p>
        <a:p xmlns:a="http://schemas.openxmlformats.org/drawingml/2006/main">
          <a:pPr algn="ctr"/>
          <a:r>
            <a:rPr lang="en-CA" sz="1100"/>
            <a:t>May 13 </a:t>
          </a:r>
          <a:r>
            <a:rPr lang="en-CA" sz="1100" baseline="0"/>
            <a:t>2020</a:t>
          </a:r>
          <a:endParaRPr lang="en-CA" sz="1100"/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13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0.82798</cdr:x>
      <cdr:y>0.0248</cdr:y>
    </cdr:from>
    <cdr:to>
      <cdr:x>0.96996</cdr:x>
      <cdr:y>0.12825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10480" y="10414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2020</a:t>
          </a: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0.85514</cdr:x>
      <cdr:y>0.0121</cdr:y>
    </cdr:from>
    <cdr:to>
      <cdr:x>0.99712</cdr:x>
      <cdr:y>0.11555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278120" y="508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</a:t>
          </a:r>
          <a:r>
            <a:rPr lang="en-CA" sz="1100" baseline="0"/>
            <a:t> 13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0.77366</cdr:x>
      <cdr:y>0.14045</cdr:y>
    </cdr:from>
    <cdr:to>
      <cdr:x>0.91564</cdr:x>
      <cdr:y>0.24352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75200" y="59182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6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13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13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13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13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13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July 11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1</xdr:row>
      <xdr:rowOff>0</xdr:rowOff>
    </xdr:from>
    <xdr:to>
      <xdr:col>10</xdr:col>
      <xdr:colOff>609600</xdr:colOff>
      <xdr:row>24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11</xdr:col>
      <xdr:colOff>0</xdr:colOff>
      <xdr:row>48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601980</xdr:colOff>
      <xdr:row>49</xdr:row>
      <xdr:rowOff>7620</xdr:rowOff>
    </xdr:from>
    <xdr:to>
      <xdr:col>10</xdr:col>
      <xdr:colOff>609600</xdr:colOff>
      <xdr:row>72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73</xdr:row>
      <xdr:rowOff>0</xdr:rowOff>
    </xdr:from>
    <xdr:to>
      <xdr:col>11</xdr:col>
      <xdr:colOff>7620</xdr:colOff>
      <xdr:row>95</xdr:row>
      <xdr:rowOff>175260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11</xdr:col>
      <xdr:colOff>0</xdr:colOff>
      <xdr:row>120</xdr:row>
      <xdr:rowOff>7620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121</xdr:row>
      <xdr:rowOff>0</xdr:rowOff>
    </xdr:from>
    <xdr:to>
      <xdr:col>11</xdr:col>
      <xdr:colOff>0</xdr:colOff>
      <xdr:row>144</xdr:row>
      <xdr:rowOff>7620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145</xdr:row>
      <xdr:rowOff>0</xdr:rowOff>
    </xdr:from>
    <xdr:to>
      <xdr:col>11</xdr:col>
      <xdr:colOff>0</xdr:colOff>
      <xdr:row>168</xdr:row>
      <xdr:rowOff>7620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169</xdr:row>
      <xdr:rowOff>0</xdr:rowOff>
    </xdr:from>
    <xdr:to>
      <xdr:col>11</xdr:col>
      <xdr:colOff>0</xdr:colOff>
      <xdr:row>192</xdr:row>
      <xdr:rowOff>7620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193</xdr:row>
      <xdr:rowOff>0</xdr:rowOff>
    </xdr:from>
    <xdr:to>
      <xdr:col>11</xdr:col>
      <xdr:colOff>0</xdr:colOff>
      <xdr:row>216</xdr:row>
      <xdr:rowOff>7620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0.45062</cdr:x>
      <cdr:y>0.19746</cdr:y>
    </cdr:from>
    <cdr:to>
      <cdr:x>0.61111</cdr:x>
      <cdr:y>0.30072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81300" y="830580"/>
          <a:ext cx="9906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CA" sz="1100"/>
            <a:t>June 6 and </a:t>
          </a:r>
        </a:p>
        <a:p xmlns:a="http://schemas.openxmlformats.org/drawingml/2006/main">
          <a:pPr algn="ctr"/>
          <a:r>
            <a:rPr lang="en-CA" sz="1100"/>
            <a:t>May 6 </a:t>
          </a:r>
          <a:r>
            <a:rPr lang="en-CA" sz="1100" baseline="0"/>
            <a:t>2020</a:t>
          </a:r>
          <a:endParaRPr lang="en-CA" sz="1100"/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6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0.82798</cdr:x>
      <cdr:y>0.0248</cdr:y>
    </cdr:from>
    <cdr:to>
      <cdr:x>0.96996</cdr:x>
      <cdr:y>0.12825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10480" y="10414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30 2020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0.78354</cdr:x>
      <cdr:y>0.6346</cdr:y>
    </cdr:from>
    <cdr:to>
      <cdr:x>0.92551</cdr:x>
      <cdr:y>0.73805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36160" y="266446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  <cdr:relSizeAnchor xmlns:cdr="http://schemas.openxmlformats.org/drawingml/2006/chartDrawing">
    <cdr:from>
      <cdr:x>0.85514</cdr:x>
      <cdr:y>0.0121</cdr:y>
    </cdr:from>
    <cdr:to>
      <cdr:x>0.99712</cdr:x>
      <cdr:y>0.11555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278120" y="508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</a:t>
          </a:r>
          <a:r>
            <a:rPr lang="en-CA" sz="1100" baseline="0"/>
            <a:t> 6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0.77366</cdr:x>
      <cdr:y>0.14045</cdr:y>
    </cdr:from>
    <cdr:to>
      <cdr:x>0.91564</cdr:x>
      <cdr:y>0.24352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75200" y="59182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Juen 6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6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6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6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June 13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July 11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1</xdr:row>
      <xdr:rowOff>0</xdr:rowOff>
    </xdr:from>
    <xdr:to>
      <xdr:col>10</xdr:col>
      <xdr:colOff>609600</xdr:colOff>
      <xdr:row>24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11</xdr:col>
      <xdr:colOff>0</xdr:colOff>
      <xdr:row>48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601980</xdr:colOff>
      <xdr:row>49</xdr:row>
      <xdr:rowOff>7620</xdr:rowOff>
    </xdr:from>
    <xdr:to>
      <xdr:col>10</xdr:col>
      <xdr:colOff>609600</xdr:colOff>
      <xdr:row>72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73</xdr:row>
      <xdr:rowOff>0</xdr:rowOff>
    </xdr:from>
    <xdr:to>
      <xdr:col>11</xdr:col>
      <xdr:colOff>7620</xdr:colOff>
      <xdr:row>95</xdr:row>
      <xdr:rowOff>175260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11</xdr:col>
      <xdr:colOff>0</xdr:colOff>
      <xdr:row>120</xdr:row>
      <xdr:rowOff>7620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121</xdr:row>
      <xdr:rowOff>0</xdr:rowOff>
    </xdr:from>
    <xdr:to>
      <xdr:col>11</xdr:col>
      <xdr:colOff>0</xdr:colOff>
      <xdr:row>144</xdr:row>
      <xdr:rowOff>7620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601980</xdr:colOff>
      <xdr:row>144</xdr:row>
      <xdr:rowOff>175260</xdr:rowOff>
    </xdr:from>
    <xdr:to>
      <xdr:col>11</xdr:col>
      <xdr:colOff>7620</xdr:colOff>
      <xdr:row>169</xdr:row>
      <xdr:rowOff>7620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170</xdr:row>
      <xdr:rowOff>0</xdr:rowOff>
    </xdr:from>
    <xdr:to>
      <xdr:col>11</xdr:col>
      <xdr:colOff>0</xdr:colOff>
      <xdr:row>193</xdr:row>
      <xdr:rowOff>7620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194</xdr:row>
      <xdr:rowOff>0</xdr:rowOff>
    </xdr:from>
    <xdr:to>
      <xdr:col>11</xdr:col>
      <xdr:colOff>0</xdr:colOff>
      <xdr:row>217</xdr:row>
      <xdr:rowOff>7620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218</xdr:row>
      <xdr:rowOff>0</xdr:rowOff>
    </xdr:from>
    <xdr:to>
      <xdr:col>11</xdr:col>
      <xdr:colOff>0</xdr:colOff>
      <xdr:row>241</xdr:row>
      <xdr:rowOff>7620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0.45062</cdr:x>
      <cdr:y>0.19746</cdr:y>
    </cdr:from>
    <cdr:to>
      <cdr:x>0.61111</cdr:x>
      <cdr:y>0.30072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81300" y="830580"/>
          <a:ext cx="9906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CA" sz="1100"/>
            <a:t>May 30 and </a:t>
          </a:r>
        </a:p>
        <a:p xmlns:a="http://schemas.openxmlformats.org/drawingml/2006/main">
          <a:pPr algn="ctr"/>
          <a:r>
            <a:rPr lang="en-CA" sz="1100"/>
            <a:t>April 30</a:t>
          </a:r>
          <a:r>
            <a:rPr lang="en-CA" sz="1100" baseline="0"/>
            <a:t> 2020</a:t>
          </a:r>
          <a:endParaRPr lang="en-CA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30 2020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0.82798</cdr:x>
      <cdr:y>0.0248</cdr:y>
    </cdr:from>
    <cdr:to>
      <cdr:x>0.96996</cdr:x>
      <cdr:y>0.12825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10480" y="10414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30 2020</a:t>
          </a:r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0.78354</cdr:x>
      <cdr:y>0.6346</cdr:y>
    </cdr:from>
    <cdr:to>
      <cdr:x>0.92551</cdr:x>
      <cdr:y>0.73805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36160" y="266446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23 2020</a:t>
          </a:r>
        </a:p>
      </cdr:txBody>
    </cdr:sp>
  </cdr:relSizeAnchor>
  <cdr:relSizeAnchor xmlns:cdr="http://schemas.openxmlformats.org/drawingml/2006/chartDrawing">
    <cdr:from>
      <cdr:x>0.85514</cdr:x>
      <cdr:y>0.0121</cdr:y>
    </cdr:from>
    <cdr:to>
      <cdr:x>0.99712</cdr:x>
      <cdr:y>0.11555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278120" y="508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30 2020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0.77366</cdr:x>
      <cdr:y>0.14045</cdr:y>
    </cdr:from>
    <cdr:to>
      <cdr:x>0.91564</cdr:x>
      <cdr:y>0.24352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75200" y="59182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30 2020</a:t>
          </a: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0.8465</cdr:x>
      <cdr:y>0.89693</cdr:y>
    </cdr:from>
    <cdr:to>
      <cdr:x>0.98848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224780" y="377952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30 2020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30 2020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30 2020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30 2020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July 11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1</xdr:row>
      <xdr:rowOff>0</xdr:rowOff>
    </xdr:from>
    <xdr:to>
      <xdr:col>10</xdr:col>
      <xdr:colOff>609600</xdr:colOff>
      <xdr:row>24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11</xdr:col>
      <xdr:colOff>0</xdr:colOff>
      <xdr:row>48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601980</xdr:colOff>
      <xdr:row>49</xdr:row>
      <xdr:rowOff>7620</xdr:rowOff>
    </xdr:from>
    <xdr:to>
      <xdr:col>10</xdr:col>
      <xdr:colOff>609600</xdr:colOff>
      <xdr:row>72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73</xdr:row>
      <xdr:rowOff>0</xdr:rowOff>
    </xdr:from>
    <xdr:to>
      <xdr:col>11</xdr:col>
      <xdr:colOff>7620</xdr:colOff>
      <xdr:row>95</xdr:row>
      <xdr:rowOff>175260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11</xdr:col>
      <xdr:colOff>0</xdr:colOff>
      <xdr:row>120</xdr:row>
      <xdr:rowOff>7620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121</xdr:row>
      <xdr:rowOff>0</xdr:rowOff>
    </xdr:from>
    <xdr:to>
      <xdr:col>11</xdr:col>
      <xdr:colOff>0</xdr:colOff>
      <xdr:row>144</xdr:row>
      <xdr:rowOff>7620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0.45062</cdr:x>
      <cdr:y>0.19746</cdr:y>
    </cdr:from>
    <cdr:to>
      <cdr:x>0.61111</cdr:x>
      <cdr:y>0.30072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81300" y="830580"/>
          <a:ext cx="9906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CA" sz="1100"/>
            <a:t>May 23 and </a:t>
          </a:r>
        </a:p>
        <a:p xmlns:a="http://schemas.openxmlformats.org/drawingml/2006/main">
          <a:pPr algn="ctr"/>
          <a:r>
            <a:rPr lang="en-CA" sz="1100"/>
            <a:t>April 23</a:t>
          </a:r>
          <a:r>
            <a:rPr lang="en-CA" sz="1100" baseline="0"/>
            <a:t> 2020</a:t>
          </a:r>
          <a:endParaRPr lang="en-CA" sz="1100"/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23 2020</a:t>
          </a: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0.82798</cdr:x>
      <cdr:y>0.0248</cdr:y>
    </cdr:from>
    <cdr:to>
      <cdr:x>0.96996</cdr:x>
      <cdr:y>0.12825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10480" y="10414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23 2020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0.78354</cdr:x>
      <cdr:y>0.6346</cdr:y>
    </cdr:from>
    <cdr:to>
      <cdr:x>0.92551</cdr:x>
      <cdr:y>0.73805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36160" y="266446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23 2020</a:t>
          </a:r>
        </a:p>
      </cdr:txBody>
    </cdr:sp>
  </cdr:relSizeAnchor>
  <cdr:relSizeAnchor xmlns:cdr="http://schemas.openxmlformats.org/drawingml/2006/chartDrawing">
    <cdr:from>
      <cdr:x>0.85514</cdr:x>
      <cdr:y>0.0121</cdr:y>
    </cdr:from>
    <cdr:to>
      <cdr:x>0.99712</cdr:x>
      <cdr:y>0.11555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278120" y="508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23 2020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0.77366</cdr:x>
      <cdr:y>0.14045</cdr:y>
    </cdr:from>
    <cdr:to>
      <cdr:x>0.91564</cdr:x>
      <cdr:y>0.24352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75200" y="59182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23 2020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0.8465</cdr:x>
      <cdr:y>0.89693</cdr:y>
    </cdr:from>
    <cdr:to>
      <cdr:x>0.98848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224780" y="377952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May 23 2020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7620</xdr:colOff>
      <xdr:row>24</xdr:row>
      <xdr:rowOff>7620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</xdr:row>
      <xdr:rowOff>0</xdr:rowOff>
    </xdr:from>
    <xdr:to>
      <xdr:col>11</xdr:col>
      <xdr:colOff>0</xdr:colOff>
      <xdr:row>24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0</xdr:colOff>
      <xdr:row>23</xdr:row>
      <xdr:rowOff>175260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July 11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0</xdr:colOff>
      <xdr:row>23</xdr:row>
      <xdr:rowOff>175260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662940</xdr:colOff>
      <xdr:row>24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0</xdr:colOff>
      <xdr:row>24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0</xdr:colOff>
      <xdr:row>24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0</xdr:colOff>
      <xdr:row>24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0</xdr:colOff>
      <xdr:row>24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0</xdr:colOff>
      <xdr:row>24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662940</xdr:colOff>
      <xdr:row>24</xdr:row>
      <xdr:rowOff>15240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0</xdr:colOff>
      <xdr:row>24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662940</xdr:colOff>
      <xdr:row>24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0.81687</cdr:x>
      <cdr:y>0.85292</cdr:y>
    </cdr:from>
    <cdr:to>
      <cdr:x>0.95885</cdr:x>
      <cdr:y>0.956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1900" y="3594100"/>
          <a:ext cx="876300" cy="4343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July 11</a:t>
          </a:r>
        </a:p>
        <a:p xmlns:a="http://schemas.openxmlformats.org/drawingml/2006/main">
          <a:pPr algn="ctr"/>
          <a:r>
            <a:rPr lang="en-CA" sz="1100"/>
            <a:t>2020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topLeftCell="A193" workbookViewId="0">
      <selection activeCell="I221" sqref="I221"/>
    </sheetView>
  </sheetViews>
  <sheetFormatPr defaultRowHeight="14.4" x14ac:dyDescent="0.3"/>
  <cols>
    <col min="2" max="11" width="9" customWidth="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9" sqref="M19"/>
    </sheetView>
  </sheetViews>
  <sheetFormatPr defaultRowHeight="14.4" x14ac:dyDescent="0.3"/>
  <cols>
    <col min="2" max="11" width="9" customWidth="1"/>
  </cols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1" sqref="B1:K1048576"/>
    </sheetView>
  </sheetViews>
  <sheetFormatPr defaultRowHeight="14.4" x14ac:dyDescent="0.3"/>
  <cols>
    <col min="1" max="1" width="9.77734375" customWidth="1"/>
    <col min="2" max="11" width="9" customWidth="1"/>
  </cols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6" sqref="A6"/>
    </sheetView>
  </sheetViews>
  <sheetFormatPr defaultRowHeight="14.4" x14ac:dyDescent="0.3"/>
  <cols>
    <col min="1" max="1" width="9.77734375" customWidth="1"/>
    <col min="2" max="11" width="9" customWidth="1"/>
  </cols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27" sqref="B27"/>
    </sheetView>
  </sheetViews>
  <sheetFormatPr defaultRowHeight="14.4" x14ac:dyDescent="0.3"/>
  <cols>
    <col min="1" max="1" width="9.77734375" customWidth="1"/>
    <col min="2" max="11" width="9" customWidth="1"/>
  </cols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B1" sqref="B1:K1048576"/>
    </sheetView>
  </sheetViews>
  <sheetFormatPr defaultRowHeight="14.4" x14ac:dyDescent="0.3"/>
  <cols>
    <col min="1" max="1" width="9.77734375" customWidth="1"/>
    <col min="2" max="11" width="9" customWidth="1"/>
  </cols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1" sqref="B1:K1048576"/>
    </sheetView>
  </sheetViews>
  <sheetFormatPr defaultRowHeight="14.4" x14ac:dyDescent="0.3"/>
  <cols>
    <col min="1" max="1" width="9.77734375" customWidth="1"/>
    <col min="2" max="11" width="9" customWidth="1"/>
  </cols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1" sqref="B1:K1048576"/>
    </sheetView>
  </sheetViews>
  <sheetFormatPr defaultRowHeight="14.4" x14ac:dyDescent="0.3"/>
  <cols>
    <col min="1" max="1" width="9.6640625" customWidth="1"/>
    <col min="2" max="11" width="9" customWidth="1"/>
  </cols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1" sqref="B1:K1048576"/>
    </sheetView>
  </sheetViews>
  <sheetFormatPr defaultRowHeight="14.4" x14ac:dyDescent="0.3"/>
  <cols>
    <col min="1" max="1" width="9.77734375" customWidth="1"/>
    <col min="2" max="11" width="9" customWidth="1"/>
  </cols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B1" sqref="B1:K1048576"/>
    </sheetView>
  </sheetViews>
  <sheetFormatPr defaultRowHeight="14.4" x14ac:dyDescent="0.3"/>
  <cols>
    <col min="1" max="1" width="9.77734375" customWidth="1"/>
    <col min="2" max="11" width="9" customWidth="1"/>
  </cols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N13" sqref="N13"/>
    </sheetView>
  </sheetViews>
  <sheetFormatPr defaultRowHeight="14.4" x14ac:dyDescent="0.3"/>
  <cols>
    <col min="1" max="1" width="9.77734375" customWidth="1"/>
    <col min="2" max="11" width="9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193" workbookViewId="0">
      <selection activeCell="N203" sqref="N203"/>
    </sheetView>
  </sheetViews>
  <sheetFormatPr defaultRowHeight="14.4" x14ac:dyDescent="0.3"/>
  <cols>
    <col min="2" max="11" width="9" customWidth="1"/>
  </cols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B1" sqref="B1:K1048576"/>
    </sheetView>
  </sheetViews>
  <sheetFormatPr defaultRowHeight="14.4" x14ac:dyDescent="0.3"/>
  <cols>
    <col min="1" max="1" width="9.77734375" customWidth="1"/>
    <col min="2" max="11" width="9" customWidth="1"/>
  </cols>
  <sheetData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1" sqref="B1:K1048576"/>
    </sheetView>
  </sheetViews>
  <sheetFormatPr defaultRowHeight="14.4" x14ac:dyDescent="0.3"/>
  <cols>
    <col min="1" max="1" width="9.77734375" customWidth="1"/>
    <col min="2" max="11" width="9" customWidth="1"/>
  </cols>
  <sheetData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E28" sqref="E28"/>
    </sheetView>
  </sheetViews>
  <sheetFormatPr defaultRowHeight="14.4" x14ac:dyDescent="0.3"/>
  <cols>
    <col min="1" max="1" width="9.77734375" customWidth="1"/>
    <col min="2" max="11" width="9" customWidth="1"/>
  </cols>
  <sheetData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2" sqref="A2"/>
    </sheetView>
  </sheetViews>
  <sheetFormatPr defaultRowHeight="14.4" x14ac:dyDescent="0.3"/>
  <cols>
    <col min="1" max="1" width="9.77734375" customWidth="1"/>
    <col min="2" max="11" width="9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139" workbookViewId="0">
      <selection activeCell="A3" sqref="A3"/>
    </sheetView>
  </sheetViews>
  <sheetFormatPr defaultRowHeight="14.4" x14ac:dyDescent="0.3"/>
  <cols>
    <col min="2" max="11" width="9" customWidth="1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65" workbookViewId="0">
      <selection activeCell="M190" sqref="M190"/>
    </sheetView>
  </sheetViews>
  <sheetFormatPr defaultRowHeight="14.4" x14ac:dyDescent="0.3"/>
  <cols>
    <col min="2" max="11" width="9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938"/>
  <sheetViews>
    <sheetView showGridLines="0" topLeftCell="A913" zoomScaleNormal="100" workbookViewId="0">
      <selection activeCell="F937" sqref="F937"/>
    </sheetView>
  </sheetViews>
  <sheetFormatPr defaultRowHeight="14.4" x14ac:dyDescent="0.3"/>
  <cols>
    <col min="1" max="1" width="6.77734375" customWidth="1"/>
    <col min="2" max="2" width="9.21875" customWidth="1"/>
    <col min="3" max="6" width="11" customWidth="1"/>
    <col min="7" max="7" width="12" customWidth="1"/>
    <col min="8" max="9" width="11" customWidth="1"/>
    <col min="10" max="10" width="14.44140625" customWidth="1"/>
    <col min="11" max="17" width="15.88671875" customWidth="1"/>
    <col min="18" max="18" width="12.44140625" customWidth="1"/>
    <col min="19" max="20" width="12.21875" customWidth="1"/>
    <col min="22" max="23" width="8.109375" customWidth="1"/>
    <col min="24" max="24" width="9.77734375" customWidth="1"/>
    <col min="25" max="25" width="10.109375" customWidth="1"/>
  </cols>
  <sheetData>
    <row r="1" spans="2:20" ht="15" thickBot="1" x14ac:dyDescent="0.35"/>
    <row r="2" spans="2:20" ht="28.8" x14ac:dyDescent="0.3">
      <c r="B2" s="2">
        <v>46447</v>
      </c>
      <c r="C2" s="18" t="s">
        <v>8</v>
      </c>
      <c r="D2" s="19" t="s">
        <v>17</v>
      </c>
      <c r="E2" s="19" t="s">
        <v>15</v>
      </c>
      <c r="F2" s="19" t="s">
        <v>16</v>
      </c>
      <c r="G2" s="19" t="s">
        <v>14</v>
      </c>
      <c r="H2" s="19" t="s">
        <v>38</v>
      </c>
      <c r="I2" s="19"/>
      <c r="J2" s="19"/>
      <c r="K2" s="19" t="s">
        <v>13</v>
      </c>
      <c r="L2" s="19" t="s">
        <v>12</v>
      </c>
      <c r="M2" s="19" t="s">
        <v>40</v>
      </c>
      <c r="N2" s="19" t="s">
        <v>32</v>
      </c>
      <c r="O2" s="20" t="s">
        <v>22</v>
      </c>
      <c r="P2" s="20" t="s">
        <v>34</v>
      </c>
      <c r="Q2" s="62" t="s">
        <v>35</v>
      </c>
      <c r="R2" s="63" t="s">
        <v>39</v>
      </c>
      <c r="S2" s="61" t="s">
        <v>43</v>
      </c>
      <c r="T2" s="61" t="s">
        <v>44</v>
      </c>
    </row>
    <row r="3" spans="2:20" x14ac:dyDescent="0.3">
      <c r="B3" s="3" t="s">
        <v>0</v>
      </c>
      <c r="C3" s="1">
        <v>993</v>
      </c>
      <c r="D3" s="14">
        <v>14.45</v>
      </c>
      <c r="E3" s="1">
        <v>8</v>
      </c>
      <c r="F3" s="1">
        <v>18</v>
      </c>
      <c r="G3" s="1">
        <v>41032</v>
      </c>
      <c r="H3" s="1">
        <f>C3-E3-F3</f>
        <v>967</v>
      </c>
      <c r="I3" s="1"/>
      <c r="J3" s="1"/>
      <c r="K3" s="21">
        <f t="shared" ref="K3:K14" si="0">G3/D3</f>
        <v>2839.5847750865055</v>
      </c>
      <c r="L3" s="21">
        <f t="shared" ref="L3:L14" si="1">C3/D3</f>
        <v>68.719723183391011</v>
      </c>
      <c r="M3" s="31"/>
      <c r="N3" s="31">
        <f>F3/(E3+F3)</f>
        <v>0.69230769230769229</v>
      </c>
      <c r="O3" s="4">
        <f>F3/D3</f>
        <v>1.2456747404844291</v>
      </c>
      <c r="P3" s="34">
        <f>F3/C3</f>
        <v>1.812688821752266E-2</v>
      </c>
      <c r="Q3" s="64">
        <f>(C3-E3-F3)/D3</f>
        <v>66.920415224913498</v>
      </c>
      <c r="R3" s="66">
        <f>G3/H3</f>
        <v>42.432264736297832</v>
      </c>
      <c r="S3">
        <v>0</v>
      </c>
      <c r="T3">
        <v>0</v>
      </c>
    </row>
    <row r="4" spans="2:20" x14ac:dyDescent="0.3">
      <c r="B4" s="5" t="s">
        <v>1</v>
      </c>
      <c r="C4" s="1">
        <v>2021</v>
      </c>
      <c r="D4" s="14">
        <v>8.43</v>
      </c>
      <c r="E4" s="1">
        <v>29</v>
      </c>
      <c r="F4" s="1">
        <v>18</v>
      </c>
      <c r="G4" s="1">
        <v>41592</v>
      </c>
      <c r="H4" s="1">
        <f t="shared" ref="H4:H14" si="2">C4-E4-F4</f>
        <v>1974</v>
      </c>
      <c r="I4" s="1"/>
      <c r="J4" s="1"/>
      <c r="K4" s="21">
        <f t="shared" si="0"/>
        <v>4933.8078291814945</v>
      </c>
      <c r="L4" s="21">
        <f t="shared" si="1"/>
        <v>239.73902728351129</v>
      </c>
      <c r="M4" s="31"/>
      <c r="N4" s="31">
        <f t="shared" ref="N4:N14" si="3">F4/(E4+F4)</f>
        <v>0.38297872340425532</v>
      </c>
      <c r="O4" s="4">
        <f t="shared" ref="O4:O12" si="4">F4/D4</f>
        <v>2.1352313167259789</v>
      </c>
      <c r="P4" s="34">
        <f t="shared" ref="P4:P14" si="5">F4/C4</f>
        <v>8.9064819396338438E-3</v>
      </c>
      <c r="Q4" s="64">
        <f t="shared" ref="Q4:Q14" si="6">(C4-E4-F4)/D4</f>
        <v>234.16370106761568</v>
      </c>
      <c r="R4" s="66">
        <f t="shared" ref="R4:R14" si="7">G4/H4</f>
        <v>21.069908814589667</v>
      </c>
      <c r="S4">
        <v>0</v>
      </c>
      <c r="T4">
        <v>0</v>
      </c>
    </row>
    <row r="5" spans="2:20" x14ac:dyDescent="0.3">
      <c r="B5" s="5" t="s">
        <v>2</v>
      </c>
      <c r="C5" s="1">
        <v>792</v>
      </c>
      <c r="D5" s="14">
        <v>5.0199999999999996</v>
      </c>
      <c r="E5" s="1">
        <v>275</v>
      </c>
      <c r="F5" s="1">
        <v>16</v>
      </c>
      <c r="G5" s="1">
        <v>34561</v>
      </c>
      <c r="H5" s="1">
        <f t="shared" si="2"/>
        <v>501</v>
      </c>
      <c r="I5" s="1"/>
      <c r="J5" s="1"/>
      <c r="K5" s="21">
        <f t="shared" si="0"/>
        <v>6884.6613545816735</v>
      </c>
      <c r="L5" s="21">
        <f t="shared" si="1"/>
        <v>157.76892430278886</v>
      </c>
      <c r="M5" s="31"/>
      <c r="N5" s="31">
        <f t="shared" si="3"/>
        <v>5.4982817869415807E-2</v>
      </c>
      <c r="O5" s="4">
        <f t="shared" si="4"/>
        <v>3.1872509960159365</v>
      </c>
      <c r="P5" s="34">
        <f t="shared" si="5"/>
        <v>2.0202020202020204E-2</v>
      </c>
      <c r="Q5" s="64">
        <f t="shared" si="6"/>
        <v>99.800796812749013</v>
      </c>
      <c r="R5" s="66">
        <f t="shared" si="7"/>
        <v>68.984031936127749</v>
      </c>
      <c r="S5">
        <v>0</v>
      </c>
      <c r="T5">
        <v>0</v>
      </c>
    </row>
    <row r="6" spans="2:20" x14ac:dyDescent="0.3">
      <c r="B6" s="5" t="s">
        <v>3</v>
      </c>
      <c r="C6" s="1">
        <v>542</v>
      </c>
      <c r="D6" s="14">
        <v>4.34</v>
      </c>
      <c r="E6" s="1">
        <v>33</v>
      </c>
      <c r="F6" s="1">
        <v>2</v>
      </c>
      <c r="G6" s="1">
        <f>36174+C6</f>
        <v>36716</v>
      </c>
      <c r="H6" s="1">
        <f t="shared" si="2"/>
        <v>507</v>
      </c>
      <c r="I6" s="1"/>
      <c r="J6" s="1"/>
      <c r="K6" s="21">
        <f t="shared" si="0"/>
        <v>8459.9078341013828</v>
      </c>
      <c r="L6" s="21">
        <f t="shared" si="1"/>
        <v>124.88479262672811</v>
      </c>
      <c r="M6" s="31"/>
      <c r="N6" s="31">
        <f t="shared" si="3"/>
        <v>5.7142857142857141E-2</v>
      </c>
      <c r="O6" s="4">
        <f t="shared" si="4"/>
        <v>0.46082949308755761</v>
      </c>
      <c r="P6" s="34">
        <f t="shared" si="5"/>
        <v>3.6900369003690036E-3</v>
      </c>
      <c r="Q6" s="64">
        <f t="shared" si="6"/>
        <v>116.82027649769586</v>
      </c>
      <c r="R6" s="66">
        <f t="shared" si="7"/>
        <v>72.418145956607489</v>
      </c>
      <c r="S6">
        <v>0</v>
      </c>
      <c r="T6">
        <v>0</v>
      </c>
    </row>
    <row r="7" spans="2:20" x14ac:dyDescent="0.3">
      <c r="B7" s="5" t="s">
        <v>4</v>
      </c>
      <c r="C7" s="1">
        <v>39</v>
      </c>
      <c r="D7" s="14">
        <v>1.36</v>
      </c>
      <c r="E7" s="1">
        <v>0</v>
      </c>
      <c r="F7" s="1">
        <v>1</v>
      </c>
      <c r="G7" s="1">
        <v>6203</v>
      </c>
      <c r="H7" s="1">
        <f t="shared" si="2"/>
        <v>38</v>
      </c>
      <c r="I7" s="1"/>
      <c r="J7" s="1"/>
      <c r="K7" s="21">
        <f t="shared" si="0"/>
        <v>4561.0294117647054</v>
      </c>
      <c r="L7" s="21">
        <f t="shared" si="1"/>
        <v>28.676470588235293</v>
      </c>
      <c r="M7" s="31"/>
      <c r="N7" s="31">
        <f t="shared" si="3"/>
        <v>1</v>
      </c>
      <c r="O7" s="4">
        <f t="shared" si="4"/>
        <v>0.73529411764705876</v>
      </c>
      <c r="P7" s="34">
        <f t="shared" si="5"/>
        <v>2.564102564102564E-2</v>
      </c>
      <c r="Q7" s="64">
        <f t="shared" si="6"/>
        <v>27.941176470588232</v>
      </c>
      <c r="R7" s="66">
        <f t="shared" si="7"/>
        <v>163.23684210526315</v>
      </c>
      <c r="S7">
        <v>0</v>
      </c>
      <c r="T7">
        <v>0</v>
      </c>
    </row>
    <row r="8" spans="2:20" x14ac:dyDescent="0.3">
      <c r="B8" s="5" t="s">
        <v>5</v>
      </c>
      <c r="C8" s="1">
        <v>104</v>
      </c>
      <c r="D8" s="14">
        <v>1.17</v>
      </c>
      <c r="E8" s="1">
        <v>3</v>
      </c>
      <c r="F8" s="1">
        <v>0</v>
      </c>
      <c r="G8" s="1">
        <v>7580</v>
      </c>
      <c r="H8" s="1">
        <f t="shared" si="2"/>
        <v>101</v>
      </c>
      <c r="I8" s="1"/>
      <c r="J8" s="1"/>
      <c r="K8" s="21">
        <f t="shared" si="0"/>
        <v>6478.6324786324794</v>
      </c>
      <c r="L8" s="21">
        <f t="shared" si="1"/>
        <v>88.8888888888889</v>
      </c>
      <c r="M8" s="31"/>
      <c r="N8" s="31">
        <f t="shared" si="3"/>
        <v>0</v>
      </c>
      <c r="O8" s="4">
        <f t="shared" si="4"/>
        <v>0</v>
      </c>
      <c r="P8" s="34">
        <f t="shared" si="5"/>
        <v>0</v>
      </c>
      <c r="Q8" s="64">
        <f t="shared" si="6"/>
        <v>86.324786324786331</v>
      </c>
      <c r="R8" s="66">
        <f t="shared" si="7"/>
        <v>75.049504950495049</v>
      </c>
      <c r="S8">
        <v>0</v>
      </c>
      <c r="T8">
        <v>0</v>
      </c>
    </row>
    <row r="9" spans="2:20" x14ac:dyDescent="0.3">
      <c r="B9" s="5" t="s">
        <v>6</v>
      </c>
      <c r="C9" s="1">
        <v>90</v>
      </c>
      <c r="D9" s="14">
        <v>0.96499999999999997</v>
      </c>
      <c r="E9" s="1">
        <v>3</v>
      </c>
      <c r="F9" s="1">
        <v>0</v>
      </c>
      <c r="G9" s="1">
        <f>3649+C9</f>
        <v>3739</v>
      </c>
      <c r="H9" s="1">
        <f t="shared" si="2"/>
        <v>87</v>
      </c>
      <c r="I9" s="1"/>
      <c r="J9" s="1"/>
      <c r="K9" s="21">
        <f t="shared" si="0"/>
        <v>3874.6113989637306</v>
      </c>
      <c r="L9" s="21">
        <f t="shared" si="1"/>
        <v>93.264248704663217</v>
      </c>
      <c r="M9" s="31"/>
      <c r="N9" s="31">
        <f t="shared" si="3"/>
        <v>0</v>
      </c>
      <c r="O9" s="4">
        <f t="shared" si="4"/>
        <v>0</v>
      </c>
      <c r="P9" s="34">
        <f t="shared" si="5"/>
        <v>0</v>
      </c>
      <c r="Q9" s="64">
        <f t="shared" si="6"/>
        <v>90.15544041450778</v>
      </c>
      <c r="R9" s="66">
        <f t="shared" si="7"/>
        <v>42.977011494252871</v>
      </c>
      <c r="S9">
        <v>0</v>
      </c>
      <c r="T9">
        <v>0</v>
      </c>
    </row>
    <row r="10" spans="2:20" x14ac:dyDescent="0.3">
      <c r="B10" s="5" t="s">
        <v>7</v>
      </c>
      <c r="C10" s="1">
        <v>45</v>
      </c>
      <c r="D10" s="14">
        <v>0.77200000000000002</v>
      </c>
      <c r="E10" s="1">
        <v>1</v>
      </c>
      <c r="F10" s="1">
        <v>0</v>
      </c>
      <c r="G10" s="1">
        <v>2019</v>
      </c>
      <c r="H10" s="1">
        <f t="shared" si="2"/>
        <v>44</v>
      </c>
      <c r="I10" s="1"/>
      <c r="J10" s="1"/>
      <c r="K10" s="21">
        <f t="shared" si="0"/>
        <v>2615.2849740932643</v>
      </c>
      <c r="L10" s="21">
        <f t="shared" si="1"/>
        <v>58.290155440414509</v>
      </c>
      <c r="M10" s="31"/>
      <c r="N10" s="31">
        <f t="shared" si="3"/>
        <v>0</v>
      </c>
      <c r="O10" s="4">
        <f t="shared" si="4"/>
        <v>0</v>
      </c>
      <c r="P10" s="34">
        <f t="shared" si="5"/>
        <v>0</v>
      </c>
      <c r="Q10" s="64">
        <f t="shared" si="6"/>
        <v>56.994818652849737</v>
      </c>
      <c r="R10" s="66">
        <f t="shared" si="7"/>
        <v>45.886363636363633</v>
      </c>
      <c r="S10">
        <v>0</v>
      </c>
      <c r="T10">
        <v>0</v>
      </c>
    </row>
    <row r="11" spans="2:20" x14ac:dyDescent="0.3">
      <c r="B11" s="5" t="s">
        <v>18</v>
      </c>
      <c r="C11" s="9">
        <v>9</v>
      </c>
      <c r="D11" s="15">
        <v>0.154</v>
      </c>
      <c r="E11" s="9">
        <v>1</v>
      </c>
      <c r="F11" s="9">
        <v>0</v>
      </c>
      <c r="G11" s="9">
        <v>350</v>
      </c>
      <c r="H11" s="1">
        <f t="shared" si="2"/>
        <v>8</v>
      </c>
      <c r="I11" s="9"/>
      <c r="J11" s="9"/>
      <c r="K11" s="22">
        <f t="shared" si="0"/>
        <v>2272.727272727273</v>
      </c>
      <c r="L11" s="22">
        <f t="shared" si="1"/>
        <v>58.441558441558442</v>
      </c>
      <c r="M11" s="31"/>
      <c r="N11" s="31">
        <f t="shared" si="3"/>
        <v>0</v>
      </c>
      <c r="O11" s="10">
        <f t="shared" si="4"/>
        <v>0</v>
      </c>
      <c r="P11" s="34">
        <f t="shared" si="5"/>
        <v>0</v>
      </c>
      <c r="Q11" s="64">
        <f t="shared" si="6"/>
        <v>51.948051948051948</v>
      </c>
      <c r="R11" s="66">
        <f t="shared" si="7"/>
        <v>43.75</v>
      </c>
      <c r="S11">
        <v>0</v>
      </c>
      <c r="T11">
        <v>0</v>
      </c>
    </row>
    <row r="12" spans="2:20" ht="15" thickBot="1" x14ac:dyDescent="0.35">
      <c r="B12" s="5" t="s">
        <v>11</v>
      </c>
      <c r="C12" s="9">
        <v>102</v>
      </c>
      <c r="D12" s="15">
        <v>0.52400000000000002</v>
      </c>
      <c r="E12" s="9">
        <v>0</v>
      </c>
      <c r="F12" s="9">
        <v>0</v>
      </c>
      <c r="G12" s="9">
        <v>1684</v>
      </c>
      <c r="H12" s="9">
        <f t="shared" si="2"/>
        <v>102</v>
      </c>
      <c r="I12" s="9"/>
      <c r="J12" s="9"/>
      <c r="K12" s="22">
        <f t="shared" si="0"/>
        <v>3213.740458015267</v>
      </c>
      <c r="L12" s="22">
        <f t="shared" si="1"/>
        <v>194.6564885496183</v>
      </c>
      <c r="M12" s="31"/>
      <c r="N12" s="32">
        <v>0</v>
      </c>
      <c r="O12" s="10">
        <f t="shared" si="4"/>
        <v>0</v>
      </c>
      <c r="P12" s="36">
        <f t="shared" si="5"/>
        <v>0</v>
      </c>
      <c r="Q12" s="65">
        <f t="shared" si="6"/>
        <v>194.6564885496183</v>
      </c>
      <c r="R12" s="67">
        <f t="shared" si="7"/>
        <v>16.509803921568629</v>
      </c>
      <c r="S12">
        <v>0</v>
      </c>
      <c r="T12">
        <v>0</v>
      </c>
    </row>
    <row r="13" spans="2:20" ht="15" thickBot="1" x14ac:dyDescent="0.35">
      <c r="B13" s="11" t="s">
        <v>10</v>
      </c>
      <c r="C13" s="12">
        <f>SUM(C3:C12)</f>
        <v>4737</v>
      </c>
      <c r="D13" s="16">
        <v>37.6</v>
      </c>
      <c r="E13" s="12">
        <f>SUM(E3:E12)</f>
        <v>353</v>
      </c>
      <c r="F13" s="12">
        <f>SUM(F3:F12)</f>
        <v>55</v>
      </c>
      <c r="G13" s="12">
        <f>SUM(G3:G12)</f>
        <v>175476</v>
      </c>
      <c r="H13" s="81">
        <f t="shared" si="2"/>
        <v>4329</v>
      </c>
      <c r="I13" s="111"/>
      <c r="J13" s="111"/>
      <c r="K13" s="68">
        <f t="shared" si="0"/>
        <v>4666.9148936170213</v>
      </c>
      <c r="L13" s="23">
        <f t="shared" si="1"/>
        <v>125.98404255319149</v>
      </c>
      <c r="M13" s="31"/>
      <c r="N13" s="33">
        <f t="shared" si="3"/>
        <v>0.13480392156862744</v>
      </c>
      <c r="O13" s="13">
        <f>F13/D13</f>
        <v>1.4627659574468084</v>
      </c>
      <c r="P13" s="57">
        <f t="shared" si="5"/>
        <v>1.1610724086974878E-2</v>
      </c>
      <c r="Q13" s="73">
        <f t="shared" si="6"/>
        <v>115.13297872340425</v>
      </c>
      <c r="R13" s="74">
        <f t="shared" si="7"/>
        <v>40.534996534996537</v>
      </c>
      <c r="S13">
        <v>0</v>
      </c>
      <c r="T13">
        <v>0</v>
      </c>
    </row>
    <row r="14" spans="2:20" ht="15" thickBot="1" x14ac:dyDescent="0.35">
      <c r="B14" s="6" t="s">
        <v>9</v>
      </c>
      <c r="C14" s="7">
        <v>99413</v>
      </c>
      <c r="D14" s="7">
        <v>327</v>
      </c>
      <c r="E14" s="7">
        <v>2525</v>
      </c>
      <c r="F14" s="7">
        <v>1530</v>
      </c>
      <c r="G14" s="7">
        <v>626663</v>
      </c>
      <c r="H14" s="82">
        <f t="shared" si="2"/>
        <v>95358</v>
      </c>
      <c r="I14" s="112"/>
      <c r="J14" s="112"/>
      <c r="K14" s="69">
        <f t="shared" si="0"/>
        <v>1916.4006116207952</v>
      </c>
      <c r="L14" s="24">
        <f t="shared" si="1"/>
        <v>304.01529051987768</v>
      </c>
      <c r="M14" s="31"/>
      <c r="N14" s="70">
        <f t="shared" si="3"/>
        <v>0.37731196054254007</v>
      </c>
      <c r="O14" s="8">
        <f>F14/D14</f>
        <v>4.6788990825688073</v>
      </c>
      <c r="P14" s="56">
        <f t="shared" si="5"/>
        <v>1.5390341303451259E-2</v>
      </c>
      <c r="Q14" s="71">
        <f t="shared" si="6"/>
        <v>291.61467889908255</v>
      </c>
      <c r="R14" s="72">
        <f t="shared" si="7"/>
        <v>6.5716877451288829</v>
      </c>
      <c r="S14">
        <v>0</v>
      </c>
      <c r="T14">
        <v>0</v>
      </c>
    </row>
    <row r="15" spans="2:20" ht="15" thickBot="1" x14ac:dyDescent="0.35">
      <c r="D15" s="7"/>
    </row>
    <row r="16" spans="2:20" ht="28.8" x14ac:dyDescent="0.3">
      <c r="B16" s="17">
        <v>46813</v>
      </c>
      <c r="C16" s="18" t="s">
        <v>8</v>
      </c>
      <c r="D16" s="19" t="s">
        <v>17</v>
      </c>
      <c r="E16" s="19" t="s">
        <v>15</v>
      </c>
      <c r="F16" s="19" t="s">
        <v>16</v>
      </c>
      <c r="G16" s="19" t="s">
        <v>14</v>
      </c>
      <c r="H16" s="19" t="s">
        <v>38</v>
      </c>
      <c r="I16" s="19"/>
      <c r="J16" s="19"/>
      <c r="K16" s="19" t="s">
        <v>21</v>
      </c>
      <c r="L16" s="19" t="s">
        <v>20</v>
      </c>
      <c r="M16" s="19" t="s">
        <v>40</v>
      </c>
      <c r="N16" s="19" t="s">
        <v>32</v>
      </c>
      <c r="O16" s="20" t="s">
        <v>22</v>
      </c>
      <c r="P16" s="20" t="s">
        <v>34</v>
      </c>
      <c r="Q16" s="20" t="s">
        <v>35</v>
      </c>
      <c r="R16" s="88" t="s">
        <v>39</v>
      </c>
      <c r="S16" s="91" t="s">
        <v>43</v>
      </c>
      <c r="T16" s="91" t="s">
        <v>44</v>
      </c>
    </row>
    <row r="17" spans="2:24" x14ac:dyDescent="0.3">
      <c r="B17" s="3" t="s">
        <v>0</v>
      </c>
      <c r="C17" s="1">
        <v>1355</v>
      </c>
      <c r="D17" s="14">
        <v>14.45</v>
      </c>
      <c r="E17" s="1">
        <v>8</v>
      </c>
      <c r="F17" s="1">
        <v>21</v>
      </c>
      <c r="G17" s="1">
        <v>47186</v>
      </c>
      <c r="H17" s="1">
        <f>C17-E17-F17</f>
        <v>1326</v>
      </c>
      <c r="I17" s="1"/>
      <c r="J17" s="1"/>
      <c r="K17" s="21">
        <f t="shared" ref="K17:K28" si="8">G17/D17</f>
        <v>3265.4671280276816</v>
      </c>
      <c r="L17" s="21">
        <f t="shared" ref="L17:L28" si="9">C17/D17</f>
        <v>93.771626297577853</v>
      </c>
      <c r="M17" s="31">
        <f>(H17-H3)/H3</f>
        <v>0.37125129265770423</v>
      </c>
      <c r="N17" s="31">
        <f>F17/(E17+F17)</f>
        <v>0.72413793103448276</v>
      </c>
      <c r="O17" s="25">
        <f>F17/D17</f>
        <v>1.453287197231834</v>
      </c>
      <c r="P17" s="34">
        <f>F17/C17</f>
        <v>1.5498154981549815E-2</v>
      </c>
      <c r="Q17" s="35">
        <f>(C17-E17-F17)/D17</f>
        <v>91.764705882352942</v>
      </c>
      <c r="R17" s="89">
        <f>G17/H17</f>
        <v>35.58521870286576</v>
      </c>
      <c r="S17" s="92">
        <f t="shared" ref="S17:S28" si="10">(C17-C3)/D17</f>
        <v>25.051903114186853</v>
      </c>
      <c r="T17" s="93">
        <f>(F17-F3)/D17</f>
        <v>0.20761245674740486</v>
      </c>
    </row>
    <row r="18" spans="2:24" x14ac:dyDescent="0.3">
      <c r="B18" s="5" t="s">
        <v>1</v>
      </c>
      <c r="C18" s="1">
        <v>2498</v>
      </c>
      <c r="D18" s="14">
        <v>8.43</v>
      </c>
      <c r="E18" s="1">
        <v>29</v>
      </c>
      <c r="F18" s="1">
        <v>22</v>
      </c>
      <c r="G18" s="1">
        <v>52844</v>
      </c>
      <c r="H18" s="1">
        <f t="shared" ref="H18:H28" si="11">C18-E18-F18</f>
        <v>2447</v>
      </c>
      <c r="I18" s="1"/>
      <c r="J18" s="1"/>
      <c r="K18" s="21">
        <f t="shared" si="8"/>
        <v>6268.564650059312</v>
      </c>
      <c r="L18" s="21">
        <f t="shared" si="9"/>
        <v>296.32265717674971</v>
      </c>
      <c r="M18" s="31">
        <f t="shared" ref="M18:M28" si="12">(H18-H4)/H4</f>
        <v>0.23961499493414387</v>
      </c>
      <c r="N18" s="31">
        <f t="shared" ref="N18:N28" si="13">F18/(E18+F18)</f>
        <v>0.43137254901960786</v>
      </c>
      <c r="O18" s="25">
        <f t="shared" ref="O18:O26" si="14">F18/D18</f>
        <v>2.6097271648873073</v>
      </c>
      <c r="P18" s="34">
        <f t="shared" ref="P18:P28" si="15">F18/C18</f>
        <v>8.8070456365092076E-3</v>
      </c>
      <c r="Q18" s="35">
        <f t="shared" ref="Q18:Q28" si="16">(C18-E18-F18)/D18</f>
        <v>290.27283511269275</v>
      </c>
      <c r="R18" s="89">
        <f t="shared" ref="R18:R28" si="17">G18/H18</f>
        <v>21.595422966898244</v>
      </c>
      <c r="S18" s="92">
        <f t="shared" si="10"/>
        <v>56.583629893238438</v>
      </c>
      <c r="T18" s="93">
        <f t="shared" ref="T18:T28" si="18">(F18-F4)/D18</f>
        <v>0.47449584816132861</v>
      </c>
    </row>
    <row r="19" spans="2:24" x14ac:dyDescent="0.3">
      <c r="B19" s="5" t="s">
        <v>2</v>
      </c>
      <c r="C19" s="1">
        <v>884</v>
      </c>
      <c r="D19" s="14">
        <v>5.0199999999999996</v>
      </c>
      <c r="E19" s="1">
        <v>396</v>
      </c>
      <c r="F19" s="1">
        <v>17</v>
      </c>
      <c r="G19" s="1">
        <v>36643</v>
      </c>
      <c r="H19" s="1">
        <f t="shared" si="11"/>
        <v>471</v>
      </c>
      <c r="I19" s="1"/>
      <c r="J19" s="1"/>
      <c r="K19" s="21">
        <f t="shared" si="8"/>
        <v>7299.4023904382475</v>
      </c>
      <c r="L19" s="21">
        <f t="shared" si="9"/>
        <v>176.09561752988049</v>
      </c>
      <c r="M19" s="31">
        <f t="shared" si="12"/>
        <v>-5.9880239520958084E-2</v>
      </c>
      <c r="N19" s="31">
        <f t="shared" si="13"/>
        <v>4.1162227602905568E-2</v>
      </c>
      <c r="O19" s="25">
        <f t="shared" si="14"/>
        <v>3.3864541832669324</v>
      </c>
      <c r="P19" s="34">
        <f t="shared" si="15"/>
        <v>1.9230769230769232E-2</v>
      </c>
      <c r="Q19" s="35">
        <f t="shared" si="16"/>
        <v>93.824701195219134</v>
      </c>
      <c r="R19" s="89">
        <f t="shared" si="17"/>
        <v>77.798301486199577</v>
      </c>
      <c r="S19" s="92">
        <f t="shared" si="10"/>
        <v>18.326693227091635</v>
      </c>
      <c r="T19" s="93">
        <f t="shared" si="18"/>
        <v>0.19920318725099603</v>
      </c>
    </row>
    <row r="20" spans="2:24" x14ac:dyDescent="0.3">
      <c r="B20" s="5" t="s">
        <v>3</v>
      </c>
      <c r="C20" s="1">
        <v>621</v>
      </c>
      <c r="D20" s="14">
        <v>4.34</v>
      </c>
      <c r="E20" s="1">
        <v>53</v>
      </c>
      <c r="F20" s="1">
        <v>2</v>
      </c>
      <c r="G20" s="1">
        <f>42527+C20</f>
        <v>43148</v>
      </c>
      <c r="H20" s="1">
        <f t="shared" si="11"/>
        <v>566</v>
      </c>
      <c r="I20" s="1"/>
      <c r="J20" s="1"/>
      <c r="K20" s="21">
        <f t="shared" si="8"/>
        <v>9941.9354838709678</v>
      </c>
      <c r="L20" s="21">
        <f t="shared" si="9"/>
        <v>143.08755760368663</v>
      </c>
      <c r="M20" s="31">
        <f t="shared" si="12"/>
        <v>0.11637080867850098</v>
      </c>
      <c r="N20" s="31">
        <f t="shared" si="13"/>
        <v>3.6363636363636362E-2</v>
      </c>
      <c r="O20" s="25">
        <f t="shared" si="14"/>
        <v>0.46082949308755761</v>
      </c>
      <c r="P20" s="34">
        <f t="shared" si="15"/>
        <v>3.2206119162640902E-3</v>
      </c>
      <c r="Q20" s="35">
        <f t="shared" si="16"/>
        <v>130.41474654377882</v>
      </c>
      <c r="R20" s="89">
        <f t="shared" si="17"/>
        <v>76.233215547703182</v>
      </c>
      <c r="S20" s="92">
        <f t="shared" si="10"/>
        <v>18.202764976958527</v>
      </c>
      <c r="T20" s="93">
        <f t="shared" si="18"/>
        <v>0</v>
      </c>
    </row>
    <row r="21" spans="2:24" x14ac:dyDescent="0.3">
      <c r="B21" s="5" t="s">
        <v>4</v>
      </c>
      <c r="C21" s="1">
        <v>64</v>
      </c>
      <c r="D21" s="14">
        <v>1.36</v>
      </c>
      <c r="E21" s="1">
        <v>0</v>
      </c>
      <c r="F21" s="1">
        <v>1</v>
      </c>
      <c r="G21" s="1">
        <v>6203</v>
      </c>
      <c r="H21" s="1">
        <f t="shared" si="11"/>
        <v>63</v>
      </c>
      <c r="I21" s="1"/>
      <c r="J21" s="1"/>
      <c r="K21" s="21">
        <f t="shared" si="8"/>
        <v>4561.0294117647054</v>
      </c>
      <c r="L21" s="21">
        <f t="shared" si="9"/>
        <v>47.058823529411761</v>
      </c>
      <c r="M21" s="31">
        <f t="shared" si="12"/>
        <v>0.65789473684210531</v>
      </c>
      <c r="N21" s="31">
        <f t="shared" si="13"/>
        <v>1</v>
      </c>
      <c r="O21" s="25">
        <f t="shared" si="14"/>
        <v>0.73529411764705876</v>
      </c>
      <c r="P21" s="34">
        <f t="shared" si="15"/>
        <v>1.5625E-2</v>
      </c>
      <c r="Q21" s="35">
        <f t="shared" si="16"/>
        <v>46.323529411764703</v>
      </c>
      <c r="R21" s="89">
        <f t="shared" si="17"/>
        <v>98.460317460317455</v>
      </c>
      <c r="S21" s="92">
        <f t="shared" si="10"/>
        <v>18.382352941176471</v>
      </c>
      <c r="T21" s="93">
        <f t="shared" si="18"/>
        <v>0</v>
      </c>
    </row>
    <row r="22" spans="2:24" x14ac:dyDescent="0.3">
      <c r="B22" s="5" t="s">
        <v>5</v>
      </c>
      <c r="C22" s="1">
        <v>134</v>
      </c>
      <c r="D22" s="14">
        <v>1.17</v>
      </c>
      <c r="E22" s="1">
        <v>3</v>
      </c>
      <c r="F22" s="1">
        <v>0</v>
      </c>
      <c r="G22" s="1">
        <v>7580</v>
      </c>
      <c r="H22" s="1">
        <f t="shared" si="11"/>
        <v>131</v>
      </c>
      <c r="I22" s="1"/>
      <c r="J22" s="1"/>
      <c r="K22" s="21">
        <f t="shared" si="8"/>
        <v>6478.6324786324794</v>
      </c>
      <c r="L22" s="21">
        <f t="shared" si="9"/>
        <v>114.52991452991454</v>
      </c>
      <c r="M22" s="31">
        <f t="shared" si="12"/>
        <v>0.29702970297029702</v>
      </c>
      <c r="N22" s="31">
        <f t="shared" si="13"/>
        <v>0</v>
      </c>
      <c r="O22" s="25">
        <f t="shared" si="14"/>
        <v>0</v>
      </c>
      <c r="P22" s="34">
        <f t="shared" si="15"/>
        <v>0</v>
      </c>
      <c r="Q22" s="35">
        <f t="shared" si="16"/>
        <v>111.96581196581197</v>
      </c>
      <c r="R22" s="89">
        <f t="shared" si="17"/>
        <v>57.862595419847331</v>
      </c>
      <c r="S22" s="92">
        <f t="shared" si="10"/>
        <v>25.641025641025642</v>
      </c>
      <c r="T22" s="93">
        <f t="shared" si="18"/>
        <v>0</v>
      </c>
    </row>
    <row r="23" spans="2:24" x14ac:dyDescent="0.3">
      <c r="B23" s="5" t="s">
        <v>6</v>
      </c>
      <c r="C23" s="1">
        <v>122</v>
      </c>
      <c r="D23" s="14">
        <v>0.96499999999999997</v>
      </c>
      <c r="E23" s="1">
        <v>3</v>
      </c>
      <c r="F23" s="1">
        <v>0</v>
      </c>
      <c r="G23" s="1">
        <v>4031</v>
      </c>
      <c r="H23" s="1">
        <f t="shared" si="11"/>
        <v>119</v>
      </c>
      <c r="I23" s="1"/>
      <c r="J23" s="1"/>
      <c r="K23" s="21">
        <f t="shared" si="8"/>
        <v>4177.2020725388602</v>
      </c>
      <c r="L23" s="21">
        <f t="shared" si="9"/>
        <v>126.42487046632125</v>
      </c>
      <c r="M23" s="31">
        <f t="shared" si="12"/>
        <v>0.36781609195402298</v>
      </c>
      <c r="N23" s="31">
        <f t="shared" si="13"/>
        <v>0</v>
      </c>
      <c r="O23" s="25">
        <f t="shared" si="14"/>
        <v>0</v>
      </c>
      <c r="P23" s="34">
        <f t="shared" si="15"/>
        <v>0</v>
      </c>
      <c r="Q23" s="35">
        <f t="shared" si="16"/>
        <v>123.3160621761658</v>
      </c>
      <c r="R23" s="89">
        <f t="shared" si="17"/>
        <v>33.87394957983193</v>
      </c>
      <c r="S23" s="92">
        <f t="shared" si="10"/>
        <v>33.160621761658035</v>
      </c>
      <c r="T23" s="93">
        <f t="shared" si="18"/>
        <v>0</v>
      </c>
    </row>
    <row r="24" spans="2:24" x14ac:dyDescent="0.3">
      <c r="B24" s="5" t="s">
        <v>7</v>
      </c>
      <c r="C24" s="1">
        <v>51</v>
      </c>
      <c r="D24" s="14">
        <v>0.77200000000000002</v>
      </c>
      <c r="E24" s="1">
        <v>2</v>
      </c>
      <c r="F24" s="1">
        <v>0</v>
      </c>
      <c r="G24" s="1">
        <v>2019</v>
      </c>
      <c r="H24" s="1">
        <f t="shared" si="11"/>
        <v>49</v>
      </c>
      <c r="I24" s="1"/>
      <c r="J24" s="1"/>
      <c r="K24" s="21">
        <f t="shared" si="8"/>
        <v>2615.2849740932643</v>
      </c>
      <c r="L24" s="21">
        <f t="shared" si="9"/>
        <v>66.062176165803109</v>
      </c>
      <c r="M24" s="31">
        <f t="shared" si="12"/>
        <v>0.11363636363636363</v>
      </c>
      <c r="N24" s="31">
        <f t="shared" si="13"/>
        <v>0</v>
      </c>
      <c r="O24" s="25">
        <f t="shared" si="14"/>
        <v>0</v>
      </c>
      <c r="P24" s="34">
        <f t="shared" si="15"/>
        <v>0</v>
      </c>
      <c r="Q24" s="35">
        <f t="shared" si="16"/>
        <v>63.471502590673573</v>
      </c>
      <c r="R24" s="89">
        <f t="shared" si="17"/>
        <v>41.204081632653065</v>
      </c>
      <c r="S24" s="92">
        <f t="shared" si="10"/>
        <v>7.7720207253886011</v>
      </c>
      <c r="T24" s="93">
        <f t="shared" si="18"/>
        <v>0</v>
      </c>
    </row>
    <row r="25" spans="2:24" x14ac:dyDescent="0.3">
      <c r="B25" s="5" t="s">
        <v>18</v>
      </c>
      <c r="C25" s="9">
        <v>11</v>
      </c>
      <c r="D25" s="15">
        <v>0.154</v>
      </c>
      <c r="E25" s="9">
        <v>1</v>
      </c>
      <c r="F25" s="9">
        <v>0</v>
      </c>
      <c r="G25" s="9">
        <v>552</v>
      </c>
      <c r="H25" s="1">
        <f t="shared" si="11"/>
        <v>10</v>
      </c>
      <c r="I25" s="9"/>
      <c r="J25" s="9"/>
      <c r="K25" s="22">
        <f t="shared" si="8"/>
        <v>3584.4155844155844</v>
      </c>
      <c r="L25" s="22">
        <f t="shared" si="9"/>
        <v>71.428571428571431</v>
      </c>
      <c r="M25" s="31">
        <f t="shared" si="12"/>
        <v>0.25</v>
      </c>
      <c r="N25" s="31">
        <f t="shared" si="13"/>
        <v>0</v>
      </c>
      <c r="O25" s="26">
        <f t="shared" si="14"/>
        <v>0</v>
      </c>
      <c r="P25" s="34">
        <f t="shared" si="15"/>
        <v>0</v>
      </c>
      <c r="Q25" s="35">
        <f t="shared" si="16"/>
        <v>64.935064935064929</v>
      </c>
      <c r="R25" s="89">
        <f t="shared" si="17"/>
        <v>55.2</v>
      </c>
      <c r="S25" s="92">
        <f t="shared" si="10"/>
        <v>12.987012987012987</v>
      </c>
      <c r="T25" s="93">
        <f t="shared" si="18"/>
        <v>0</v>
      </c>
    </row>
    <row r="26" spans="2:24" ht="15" thickBot="1" x14ac:dyDescent="0.35">
      <c r="B26" s="5" t="s">
        <v>11</v>
      </c>
      <c r="C26" s="9">
        <v>120</v>
      </c>
      <c r="D26" s="15">
        <v>0.52400000000000002</v>
      </c>
      <c r="E26" s="9">
        <v>4</v>
      </c>
      <c r="F26" s="9">
        <v>0</v>
      </c>
      <c r="G26" s="9">
        <v>1684</v>
      </c>
      <c r="H26" s="9">
        <f t="shared" si="11"/>
        <v>116</v>
      </c>
      <c r="I26" s="9"/>
      <c r="J26" s="9"/>
      <c r="K26" s="22">
        <f t="shared" si="8"/>
        <v>3213.740458015267</v>
      </c>
      <c r="L26" s="22">
        <f t="shared" si="9"/>
        <v>229.00763358778624</v>
      </c>
      <c r="M26" s="31">
        <f t="shared" si="12"/>
        <v>0.13725490196078433</v>
      </c>
      <c r="N26" s="32">
        <f t="shared" si="13"/>
        <v>0</v>
      </c>
      <c r="O26" s="26">
        <f t="shared" si="14"/>
        <v>0</v>
      </c>
      <c r="P26" s="36">
        <f t="shared" si="15"/>
        <v>0</v>
      </c>
      <c r="Q26" s="37">
        <f t="shared" si="16"/>
        <v>221.37404580152671</v>
      </c>
      <c r="R26" s="90">
        <f t="shared" si="17"/>
        <v>14.517241379310345</v>
      </c>
      <c r="S26" s="92">
        <f t="shared" si="10"/>
        <v>34.351145038167935</v>
      </c>
      <c r="T26" s="93">
        <f t="shared" si="18"/>
        <v>0</v>
      </c>
    </row>
    <row r="27" spans="2:24" ht="15" thickBot="1" x14ac:dyDescent="0.35">
      <c r="B27" s="11" t="s">
        <v>10</v>
      </c>
      <c r="C27" s="12">
        <v>5878</v>
      </c>
      <c r="D27" s="16">
        <v>37.6</v>
      </c>
      <c r="E27" s="12">
        <v>508</v>
      </c>
      <c r="F27" s="12">
        <f>SUM(F17:F26)</f>
        <v>63</v>
      </c>
      <c r="G27" s="12">
        <f>SUM(G17:G26)</f>
        <v>201890</v>
      </c>
      <c r="H27" s="81">
        <f t="shared" si="11"/>
        <v>5307</v>
      </c>
      <c r="I27" s="111"/>
      <c r="J27" s="111"/>
      <c r="K27" s="77">
        <f t="shared" si="8"/>
        <v>5369.4148936170213</v>
      </c>
      <c r="L27" s="23">
        <f t="shared" si="9"/>
        <v>156.32978723404256</v>
      </c>
      <c r="M27" s="31">
        <f t="shared" si="12"/>
        <v>0.22591822591822591</v>
      </c>
      <c r="N27" s="33">
        <f t="shared" si="13"/>
        <v>0.11033274956217162</v>
      </c>
      <c r="O27" s="27">
        <f>F27/D27</f>
        <v>1.675531914893617</v>
      </c>
      <c r="P27" s="38">
        <f t="shared" si="15"/>
        <v>1.0717931269139162E-2</v>
      </c>
      <c r="Q27" s="39">
        <f t="shared" si="16"/>
        <v>141.14361702127658</v>
      </c>
      <c r="R27" s="85">
        <f t="shared" si="17"/>
        <v>38.042208403994721</v>
      </c>
      <c r="S27" s="92">
        <f t="shared" si="10"/>
        <v>30.345744680851062</v>
      </c>
      <c r="T27" s="93">
        <f t="shared" si="18"/>
        <v>0.21276595744680851</v>
      </c>
    </row>
    <row r="28" spans="2:24" ht="15" thickBot="1" x14ac:dyDescent="0.35">
      <c r="B28" s="6" t="s">
        <v>9</v>
      </c>
      <c r="C28" s="7">
        <v>118234</v>
      </c>
      <c r="D28" s="7">
        <v>327</v>
      </c>
      <c r="E28" s="7">
        <v>4378</v>
      </c>
      <c r="F28" s="7">
        <v>1965</v>
      </c>
      <c r="G28" s="7">
        <v>735704</v>
      </c>
      <c r="H28" s="82">
        <f t="shared" si="11"/>
        <v>111891</v>
      </c>
      <c r="I28" s="112"/>
      <c r="J28" s="112"/>
      <c r="K28" s="78">
        <f t="shared" si="8"/>
        <v>2249.8593272171252</v>
      </c>
      <c r="L28" s="24">
        <f t="shared" si="9"/>
        <v>361.57186544342505</v>
      </c>
      <c r="M28" s="31">
        <f t="shared" si="12"/>
        <v>0.17337821682501731</v>
      </c>
      <c r="N28" s="33">
        <f t="shared" si="13"/>
        <v>0.30979032003783696</v>
      </c>
      <c r="O28" s="28">
        <f>F28/D28</f>
        <v>6.0091743119266052</v>
      </c>
      <c r="P28" s="40">
        <f t="shared" si="15"/>
        <v>1.6619584890978905E-2</v>
      </c>
      <c r="Q28" s="41">
        <f t="shared" si="16"/>
        <v>342.17431192660553</v>
      </c>
      <c r="R28" s="87">
        <f t="shared" si="17"/>
        <v>6.5751847780429165</v>
      </c>
      <c r="S28" s="92">
        <f t="shared" si="10"/>
        <v>57.556574923547402</v>
      </c>
      <c r="T28" s="93">
        <f t="shared" si="18"/>
        <v>1.3302752293577982</v>
      </c>
    </row>
    <row r="29" spans="2:24" ht="15" thickBot="1" x14ac:dyDescent="0.35"/>
    <row r="30" spans="2:24" ht="29.4" thickBot="1" x14ac:dyDescent="0.35">
      <c r="B30" s="17">
        <v>47543</v>
      </c>
      <c r="C30" s="18" t="s">
        <v>8</v>
      </c>
      <c r="D30" s="19" t="s">
        <v>17</v>
      </c>
      <c r="E30" s="19" t="s">
        <v>15</v>
      </c>
      <c r="F30" s="19" t="s">
        <v>16</v>
      </c>
      <c r="G30" s="19" t="s">
        <v>14</v>
      </c>
      <c r="H30" s="19" t="s">
        <v>38</v>
      </c>
      <c r="I30" s="19"/>
      <c r="J30" s="19"/>
      <c r="K30" s="19" t="s">
        <v>21</v>
      </c>
      <c r="L30" s="19" t="s">
        <v>20</v>
      </c>
      <c r="M30" s="19" t="s">
        <v>40</v>
      </c>
      <c r="N30" s="19" t="s">
        <v>19</v>
      </c>
      <c r="O30" s="20" t="s">
        <v>22</v>
      </c>
      <c r="P30" s="20" t="s">
        <v>34</v>
      </c>
      <c r="Q30" s="20" t="s">
        <v>35</v>
      </c>
      <c r="R30" s="63" t="s">
        <v>39</v>
      </c>
      <c r="S30" s="91" t="s">
        <v>43</v>
      </c>
      <c r="T30" s="91" t="s">
        <v>44</v>
      </c>
      <c r="V30" s="104" t="s">
        <v>48</v>
      </c>
      <c r="W30" s="105" t="s">
        <v>49</v>
      </c>
      <c r="X30" s="106" t="s">
        <v>50</v>
      </c>
    </row>
    <row r="31" spans="2:24" x14ac:dyDescent="0.3">
      <c r="B31" s="3" t="s">
        <v>0</v>
      </c>
      <c r="C31" s="1">
        <v>1706</v>
      </c>
      <c r="D31" s="14">
        <v>14.45</v>
      </c>
      <c r="E31" s="1">
        <v>431</v>
      </c>
      <c r="F31" s="1">
        <v>33</v>
      </c>
      <c r="G31" s="1">
        <v>48461</v>
      </c>
      <c r="H31" s="1">
        <f>C31-E31-F31</f>
        <v>1242</v>
      </c>
      <c r="I31" s="1"/>
      <c r="J31" s="1"/>
      <c r="K31" s="21">
        <f t="shared" ref="K31:K42" si="19">G31/D31</f>
        <v>3353.7024221453289</v>
      </c>
      <c r="L31" s="21">
        <f t="shared" ref="L31:L42" si="20">C31/D31</f>
        <v>118.06228373702423</v>
      </c>
      <c r="M31" s="31">
        <f>(H31-H17)/H17</f>
        <v>-6.3348416289592757E-2</v>
      </c>
      <c r="N31" s="31">
        <f>F31/(E31+F31)</f>
        <v>7.1120689655172417E-2</v>
      </c>
      <c r="O31" s="25">
        <f>F31/D31</f>
        <v>2.2837370242214532</v>
      </c>
      <c r="P31" s="34">
        <f>F31/C31</f>
        <v>1.9343493552168817E-2</v>
      </c>
      <c r="Q31" s="35">
        <f>(C31-E31-F31)/D31</f>
        <v>85.951557093425606</v>
      </c>
      <c r="R31" s="66">
        <f>G31/H31</f>
        <v>39.018518518518519</v>
      </c>
      <c r="S31" s="92">
        <f>(C31-C17)/D31/2</f>
        <v>12.145328719723183</v>
      </c>
      <c r="T31" s="93">
        <f>(F31-F17)/D31</f>
        <v>0.83044982698961944</v>
      </c>
      <c r="V31" s="101" t="str">
        <f>B31</f>
        <v>ON</v>
      </c>
      <c r="W31" s="102">
        <f>C31/D31/180+IFERROR((D31*C31*5)/(F31*F31),400)</f>
        <v>113.84093371589439</v>
      </c>
      <c r="X31" s="103">
        <f>L31/75000/K31*K$41</f>
        <v>2.8850820159399947E-3</v>
      </c>
    </row>
    <row r="32" spans="2:24" x14ac:dyDescent="0.3">
      <c r="B32" s="5" t="s">
        <v>1</v>
      </c>
      <c r="C32" s="1">
        <v>3430</v>
      </c>
      <c r="D32" s="14">
        <v>8.43</v>
      </c>
      <c r="E32" s="1">
        <v>29</v>
      </c>
      <c r="F32" s="1">
        <v>25</v>
      </c>
      <c r="G32" s="1">
        <v>65915</v>
      </c>
      <c r="H32" s="1">
        <f t="shared" ref="H32:H42" si="21">C32-E32-F32</f>
        <v>3376</v>
      </c>
      <c r="I32" s="1"/>
      <c r="J32" s="1"/>
      <c r="K32" s="21">
        <f t="shared" si="19"/>
        <v>7819.0984578884936</v>
      </c>
      <c r="L32" s="21">
        <f t="shared" si="20"/>
        <v>406.8801897983393</v>
      </c>
      <c r="M32" s="31">
        <f t="shared" ref="M32:M42" si="22">(H32-H18)/H18</f>
        <v>0.37964854924397223</v>
      </c>
      <c r="N32" s="31">
        <f t="shared" ref="N32:N42" si="23">F32/(E32+F32)</f>
        <v>0.46296296296296297</v>
      </c>
      <c r="O32" s="25">
        <f t="shared" ref="O32:O40" si="24">F32/D32</f>
        <v>2.9655990510083039</v>
      </c>
      <c r="P32" s="34">
        <f t="shared" ref="P32:P42" si="25">F32/C32</f>
        <v>7.2886297376093291E-3</v>
      </c>
      <c r="Q32" s="35">
        <f t="shared" ref="Q32:Q42" si="26">(C32-E32-F32)/D32</f>
        <v>400.47449584816133</v>
      </c>
      <c r="R32" s="66">
        <f t="shared" ref="R32:R42" si="27">G32/H32</f>
        <v>19.524585308056871</v>
      </c>
      <c r="S32" s="92">
        <f t="shared" ref="S32:S42" si="28">(C32-C18)/D32/2</f>
        <v>55.278766310794779</v>
      </c>
      <c r="T32" s="93">
        <f t="shared" ref="T32:T42" si="29">(F32-F18)/D32</f>
        <v>0.35587188612099646</v>
      </c>
      <c r="V32" s="98" t="str">
        <f t="shared" ref="V32:V42" si="30">B32</f>
        <v>QC</v>
      </c>
      <c r="W32" s="100">
        <f t="shared" ref="W32:W42" si="31">C32/D32/180+IFERROR((D32*C32*5)/(F32*F32),400)</f>
        <v>233.57964549887967</v>
      </c>
      <c r="X32" s="103">
        <f t="shared" ref="X32:X42" si="32">L32/74000/K32*K$41</f>
        <v>4.3222602780507791E-3</v>
      </c>
    </row>
    <row r="33" spans="2:24" x14ac:dyDescent="0.3">
      <c r="B33" s="5" t="s">
        <v>2</v>
      </c>
      <c r="C33" s="1">
        <v>970</v>
      </c>
      <c r="D33" s="14">
        <v>5.0199999999999996</v>
      </c>
      <c r="E33" s="1">
        <v>469</v>
      </c>
      <c r="F33" s="1">
        <v>19</v>
      </c>
      <c r="G33" s="1">
        <v>42028</v>
      </c>
      <c r="H33" s="1">
        <f t="shared" si="21"/>
        <v>482</v>
      </c>
      <c r="I33" s="1"/>
      <c r="J33" s="1"/>
      <c r="K33" s="21">
        <f t="shared" si="19"/>
        <v>8372.1115537848618</v>
      </c>
      <c r="L33" s="21">
        <f t="shared" si="20"/>
        <v>193.22709163346616</v>
      </c>
      <c r="M33" s="31">
        <f t="shared" si="22"/>
        <v>2.3354564755838639E-2</v>
      </c>
      <c r="N33" s="31">
        <f t="shared" si="23"/>
        <v>3.8934426229508198E-2</v>
      </c>
      <c r="O33" s="25">
        <f t="shared" si="24"/>
        <v>3.7848605577689245</v>
      </c>
      <c r="P33" s="34">
        <f t="shared" si="25"/>
        <v>1.9587628865979381E-2</v>
      </c>
      <c r="Q33" s="35">
        <f t="shared" si="26"/>
        <v>96.01593625498009</v>
      </c>
      <c r="R33" s="66">
        <f t="shared" si="27"/>
        <v>87.195020746887963</v>
      </c>
      <c r="S33" s="92">
        <f t="shared" si="28"/>
        <v>8.56573705179283</v>
      </c>
      <c r="T33" s="93">
        <f t="shared" si="29"/>
        <v>0.39840637450199207</v>
      </c>
      <c r="V33" s="98" t="str">
        <f t="shared" si="30"/>
        <v>BC</v>
      </c>
      <c r="W33" s="100">
        <f t="shared" si="31"/>
        <v>68.516697138807046</v>
      </c>
      <c r="X33" s="103">
        <f t="shared" si="32"/>
        <v>1.9170527481254724E-3</v>
      </c>
    </row>
    <row r="34" spans="2:24" x14ac:dyDescent="0.3">
      <c r="B34" s="5" t="s">
        <v>3</v>
      </c>
      <c r="C34" s="1">
        <v>690</v>
      </c>
      <c r="D34" s="14">
        <v>4.34</v>
      </c>
      <c r="E34" s="1">
        <v>94</v>
      </c>
      <c r="F34" s="1">
        <v>8</v>
      </c>
      <c r="G34" s="1">
        <v>44999</v>
      </c>
      <c r="H34" s="1">
        <f t="shared" si="21"/>
        <v>588</v>
      </c>
      <c r="I34" s="1"/>
      <c r="J34" s="1"/>
      <c r="K34" s="21">
        <f t="shared" si="19"/>
        <v>10368.433179723503</v>
      </c>
      <c r="L34" s="21">
        <f t="shared" si="20"/>
        <v>158.98617511520737</v>
      </c>
      <c r="M34" s="31">
        <f t="shared" si="22"/>
        <v>3.8869257950530034E-2</v>
      </c>
      <c r="N34" s="31">
        <f t="shared" si="23"/>
        <v>7.8431372549019607E-2</v>
      </c>
      <c r="O34" s="25">
        <f t="shared" si="24"/>
        <v>1.8433179723502304</v>
      </c>
      <c r="P34" s="34">
        <f t="shared" si="25"/>
        <v>1.1594202898550725E-2</v>
      </c>
      <c r="Q34" s="35">
        <f t="shared" si="26"/>
        <v>135.48387096774195</v>
      </c>
      <c r="R34" s="66">
        <f t="shared" si="27"/>
        <v>76.528911564625844</v>
      </c>
      <c r="S34" s="92">
        <f t="shared" si="28"/>
        <v>7.9493087557603692</v>
      </c>
      <c r="T34" s="93">
        <f t="shared" si="29"/>
        <v>1.3824884792626728</v>
      </c>
      <c r="V34" s="98" t="str">
        <f t="shared" si="30"/>
        <v>AL</v>
      </c>
      <c r="W34" s="100">
        <f t="shared" si="31"/>
        <v>234.83638152841783</v>
      </c>
      <c r="X34" s="103">
        <f t="shared" si="32"/>
        <v>1.2736417304066087E-3</v>
      </c>
    </row>
    <row r="35" spans="2:24" x14ac:dyDescent="0.3">
      <c r="B35" s="5" t="s">
        <v>4</v>
      </c>
      <c r="C35" s="1">
        <v>96</v>
      </c>
      <c r="D35" s="14">
        <v>1.36</v>
      </c>
      <c r="E35" s="1">
        <v>2</v>
      </c>
      <c r="F35" s="1">
        <v>1</v>
      </c>
      <c r="G35" s="1">
        <v>8550</v>
      </c>
      <c r="H35" s="1">
        <f t="shared" si="21"/>
        <v>93</v>
      </c>
      <c r="I35" s="1"/>
      <c r="J35" s="1"/>
      <c r="K35" s="21">
        <f t="shared" si="19"/>
        <v>6286.7647058823522</v>
      </c>
      <c r="L35" s="21">
        <f t="shared" si="20"/>
        <v>70.588235294117638</v>
      </c>
      <c r="M35" s="31">
        <f t="shared" si="22"/>
        <v>0.47619047619047616</v>
      </c>
      <c r="N35" s="31">
        <f t="shared" si="23"/>
        <v>0.33333333333333331</v>
      </c>
      <c r="O35" s="25">
        <f t="shared" si="24"/>
        <v>0.73529411764705876</v>
      </c>
      <c r="P35" s="34">
        <f t="shared" si="25"/>
        <v>1.0416666666666666E-2</v>
      </c>
      <c r="Q35" s="35">
        <f t="shared" si="26"/>
        <v>68.382352941176464</v>
      </c>
      <c r="R35" s="66">
        <f t="shared" si="27"/>
        <v>91.935483870967744</v>
      </c>
      <c r="S35" s="92">
        <f t="shared" si="28"/>
        <v>11.76470588235294</v>
      </c>
      <c r="T35" s="93">
        <f t="shared" si="29"/>
        <v>0</v>
      </c>
      <c r="V35" s="98" t="str">
        <f t="shared" si="30"/>
        <v>MA</v>
      </c>
      <c r="W35" s="100">
        <f t="shared" si="31"/>
        <v>653.19215686274504</v>
      </c>
      <c r="X35" s="103">
        <f t="shared" si="32"/>
        <v>9.3262310462758377E-4</v>
      </c>
    </row>
    <row r="36" spans="2:24" x14ac:dyDescent="0.3">
      <c r="B36" s="5" t="s">
        <v>5</v>
      </c>
      <c r="C36" s="1">
        <v>176</v>
      </c>
      <c r="D36" s="14">
        <v>1.17</v>
      </c>
      <c r="E36" s="1">
        <v>8</v>
      </c>
      <c r="F36" s="1">
        <v>2</v>
      </c>
      <c r="G36" s="1">
        <v>9651</v>
      </c>
      <c r="H36" s="1">
        <f t="shared" si="21"/>
        <v>166</v>
      </c>
      <c r="I36" s="1"/>
      <c r="J36" s="1"/>
      <c r="K36" s="21">
        <f t="shared" si="19"/>
        <v>8248.7179487179492</v>
      </c>
      <c r="L36" s="21">
        <f t="shared" si="20"/>
        <v>150.42735042735043</v>
      </c>
      <c r="M36" s="31">
        <f t="shared" si="22"/>
        <v>0.26717557251908397</v>
      </c>
      <c r="N36" s="31">
        <f t="shared" si="23"/>
        <v>0.2</v>
      </c>
      <c r="O36" s="25">
        <f t="shared" si="24"/>
        <v>1.7094017094017095</v>
      </c>
      <c r="P36" s="34">
        <f t="shared" si="25"/>
        <v>1.1363636363636364E-2</v>
      </c>
      <c r="Q36" s="35">
        <f t="shared" si="26"/>
        <v>141.88034188034189</v>
      </c>
      <c r="R36" s="66">
        <f t="shared" si="27"/>
        <v>58.138554216867469</v>
      </c>
      <c r="S36" s="92">
        <f t="shared" si="28"/>
        <v>17.948717948717949</v>
      </c>
      <c r="T36" s="93">
        <f t="shared" si="29"/>
        <v>1.7094017094017095</v>
      </c>
      <c r="V36" s="98" t="str">
        <f t="shared" si="30"/>
        <v>SA</v>
      </c>
      <c r="W36" s="100">
        <f t="shared" si="31"/>
        <v>258.23570750237417</v>
      </c>
      <c r="X36" s="103">
        <f t="shared" si="32"/>
        <v>1.5147515454395791E-3</v>
      </c>
    </row>
    <row r="37" spans="2:24" x14ac:dyDescent="0.3">
      <c r="B37" s="5" t="s">
        <v>6</v>
      </c>
      <c r="C37" s="1">
        <v>127</v>
      </c>
      <c r="D37" s="14">
        <v>0.96499999999999997</v>
      </c>
      <c r="E37" s="1">
        <v>10</v>
      </c>
      <c r="F37" s="1">
        <v>0</v>
      </c>
      <c r="G37" s="1">
        <f>5045+C37</f>
        <v>5172</v>
      </c>
      <c r="H37" s="1">
        <f t="shared" si="21"/>
        <v>117</v>
      </c>
      <c r="I37" s="1"/>
      <c r="J37" s="1"/>
      <c r="K37" s="21">
        <f t="shared" si="19"/>
        <v>5359.5854922279796</v>
      </c>
      <c r="L37" s="21">
        <f t="shared" si="20"/>
        <v>131.60621761658032</v>
      </c>
      <c r="M37" s="31">
        <f t="shared" si="22"/>
        <v>-1.680672268907563E-2</v>
      </c>
      <c r="N37" s="31">
        <f t="shared" si="23"/>
        <v>0</v>
      </c>
      <c r="O37" s="25">
        <f t="shared" si="24"/>
        <v>0</v>
      </c>
      <c r="P37" s="34">
        <f t="shared" si="25"/>
        <v>0</v>
      </c>
      <c r="Q37" s="35">
        <f t="shared" si="26"/>
        <v>121.24352331606218</v>
      </c>
      <c r="R37" s="66">
        <f t="shared" si="27"/>
        <v>44.205128205128204</v>
      </c>
      <c r="S37" s="92">
        <f t="shared" si="28"/>
        <v>2.5906735751295336</v>
      </c>
      <c r="T37" s="93">
        <f t="shared" si="29"/>
        <v>0</v>
      </c>
      <c r="V37" s="98" t="str">
        <f t="shared" si="30"/>
        <v>NS</v>
      </c>
      <c r="W37" s="100">
        <f t="shared" si="31"/>
        <v>400.73114565342547</v>
      </c>
      <c r="X37" s="103">
        <f t="shared" si="32"/>
        <v>2.0396058869873476E-3</v>
      </c>
    </row>
    <row r="38" spans="2:24" x14ac:dyDescent="0.3">
      <c r="B38" s="5" t="s">
        <v>7</v>
      </c>
      <c r="C38" s="1">
        <v>68</v>
      </c>
      <c r="D38" s="14">
        <v>0.77200000000000002</v>
      </c>
      <c r="E38" s="1">
        <v>2</v>
      </c>
      <c r="F38" s="1">
        <v>0</v>
      </c>
      <c r="G38" s="1">
        <v>3234</v>
      </c>
      <c r="H38" s="1">
        <f t="shared" si="21"/>
        <v>66</v>
      </c>
      <c r="I38" s="1"/>
      <c r="J38" s="1"/>
      <c r="K38" s="21">
        <f t="shared" si="19"/>
        <v>4189.1191709844561</v>
      </c>
      <c r="L38" s="21">
        <f t="shared" si="20"/>
        <v>88.082901554404145</v>
      </c>
      <c r="M38" s="31">
        <f t="shared" si="22"/>
        <v>0.34693877551020408</v>
      </c>
      <c r="N38" s="31">
        <f t="shared" si="23"/>
        <v>0</v>
      </c>
      <c r="O38" s="25">
        <f t="shared" si="24"/>
        <v>0</v>
      </c>
      <c r="P38" s="34">
        <f t="shared" si="25"/>
        <v>0</v>
      </c>
      <c r="Q38" s="35">
        <f t="shared" si="26"/>
        <v>85.492227979274602</v>
      </c>
      <c r="R38" s="66">
        <f t="shared" si="27"/>
        <v>49</v>
      </c>
      <c r="S38" s="92">
        <f t="shared" si="28"/>
        <v>11.010362694300518</v>
      </c>
      <c r="T38" s="93">
        <f t="shared" si="29"/>
        <v>0</v>
      </c>
      <c r="V38" s="98" t="str">
        <f t="shared" si="30"/>
        <v>NB</v>
      </c>
      <c r="W38" s="100">
        <f t="shared" si="31"/>
        <v>400.48934945308002</v>
      </c>
      <c r="X38" s="103">
        <f t="shared" si="32"/>
        <v>1.7465054661103291E-3</v>
      </c>
    </row>
    <row r="39" spans="2:24" x14ac:dyDescent="0.3">
      <c r="B39" s="5" t="s">
        <v>18</v>
      </c>
      <c r="C39" s="9">
        <v>18</v>
      </c>
      <c r="D39" s="15">
        <v>0.154</v>
      </c>
      <c r="E39" s="9">
        <v>1</v>
      </c>
      <c r="F39" s="9">
        <v>0</v>
      </c>
      <c r="G39" s="9">
        <v>769</v>
      </c>
      <c r="H39" s="1">
        <f t="shared" si="21"/>
        <v>17</v>
      </c>
      <c r="I39" s="9"/>
      <c r="J39" s="9"/>
      <c r="K39" s="22">
        <f t="shared" si="19"/>
        <v>4993.5064935064938</v>
      </c>
      <c r="L39" s="22">
        <f t="shared" si="20"/>
        <v>116.88311688311688</v>
      </c>
      <c r="M39" s="31">
        <f t="shared" si="22"/>
        <v>0.7</v>
      </c>
      <c r="N39" s="31">
        <f t="shared" si="23"/>
        <v>0</v>
      </c>
      <c r="O39" s="26">
        <f t="shared" si="24"/>
        <v>0</v>
      </c>
      <c r="P39" s="34">
        <f t="shared" si="25"/>
        <v>0</v>
      </c>
      <c r="Q39" s="35">
        <f t="shared" si="26"/>
        <v>110.3896103896104</v>
      </c>
      <c r="R39" s="66">
        <f t="shared" si="27"/>
        <v>45.235294117647058</v>
      </c>
      <c r="S39" s="92">
        <f t="shared" si="28"/>
        <v>22.727272727272727</v>
      </c>
      <c r="T39" s="93">
        <f t="shared" si="29"/>
        <v>0</v>
      </c>
      <c r="V39" s="98" t="str">
        <f t="shared" si="30"/>
        <v>PEI</v>
      </c>
      <c r="W39" s="100">
        <f t="shared" si="31"/>
        <v>400.64935064935065</v>
      </c>
      <c r="X39" s="103">
        <f t="shared" si="32"/>
        <v>1.9442281074201501E-3</v>
      </c>
    </row>
    <row r="40" spans="2:24" ht="15" thickBot="1" x14ac:dyDescent="0.35">
      <c r="B40" s="5" t="s">
        <v>11</v>
      </c>
      <c r="C40" s="9">
        <v>148</v>
      </c>
      <c r="D40" s="15">
        <v>0.52400000000000002</v>
      </c>
      <c r="E40" s="9">
        <v>4</v>
      </c>
      <c r="F40" s="9">
        <v>1</v>
      </c>
      <c r="G40" s="9">
        <v>2332</v>
      </c>
      <c r="H40" s="9">
        <f t="shared" si="21"/>
        <v>143</v>
      </c>
      <c r="I40" s="9"/>
      <c r="J40" s="9"/>
      <c r="K40" s="22">
        <f t="shared" si="19"/>
        <v>4450.3816793893129</v>
      </c>
      <c r="L40" s="22">
        <f t="shared" si="20"/>
        <v>282.44274809160305</v>
      </c>
      <c r="M40" s="31">
        <f t="shared" si="22"/>
        <v>0.23275862068965517</v>
      </c>
      <c r="N40" s="32">
        <f t="shared" si="23"/>
        <v>0.2</v>
      </c>
      <c r="O40" s="26">
        <f t="shared" si="24"/>
        <v>1.9083969465648853</v>
      </c>
      <c r="P40" s="36">
        <f t="shared" si="25"/>
        <v>6.7567567567567571E-3</v>
      </c>
      <c r="Q40" s="37">
        <f t="shared" si="26"/>
        <v>272.90076335877859</v>
      </c>
      <c r="R40" s="67">
        <f t="shared" si="27"/>
        <v>16.307692307692307</v>
      </c>
      <c r="S40" s="92">
        <f t="shared" si="28"/>
        <v>26.717557251908396</v>
      </c>
      <c r="T40" s="93">
        <f t="shared" si="29"/>
        <v>1.9083969465648853</v>
      </c>
      <c r="V40" s="99" t="str">
        <f t="shared" si="30"/>
        <v>NFLD</v>
      </c>
      <c r="W40" s="107">
        <f t="shared" si="31"/>
        <v>389.32912637828673</v>
      </c>
      <c r="X40" s="103">
        <f t="shared" si="32"/>
        <v>5.2715001277325643E-3</v>
      </c>
    </row>
    <row r="41" spans="2:24" ht="15" thickBot="1" x14ac:dyDescent="0.35">
      <c r="B41" s="11" t="s">
        <v>10</v>
      </c>
      <c r="C41" s="12">
        <v>7448</v>
      </c>
      <c r="D41" s="16">
        <v>37.6</v>
      </c>
      <c r="E41" s="12">
        <v>1065</v>
      </c>
      <c r="F41" s="12">
        <f>SUM(F31:F40)</f>
        <v>89</v>
      </c>
      <c r="G41" s="12">
        <f>SUM(G31:G40)</f>
        <v>231111</v>
      </c>
      <c r="H41" s="81">
        <f t="shared" si="21"/>
        <v>6294</v>
      </c>
      <c r="I41" s="111"/>
      <c r="J41" s="111"/>
      <c r="K41" s="77">
        <f t="shared" si="19"/>
        <v>6146.5691489361698</v>
      </c>
      <c r="L41" s="23">
        <f t="shared" si="20"/>
        <v>198.08510638297872</v>
      </c>
      <c r="M41" s="31">
        <f t="shared" si="22"/>
        <v>0.1859807801017524</v>
      </c>
      <c r="N41" s="33">
        <f t="shared" si="23"/>
        <v>7.7123050259965339E-2</v>
      </c>
      <c r="O41" s="27">
        <f>F41/D41</f>
        <v>2.3670212765957448</v>
      </c>
      <c r="P41" s="38">
        <f t="shared" si="25"/>
        <v>1.194951664876477E-2</v>
      </c>
      <c r="Q41" s="39">
        <f t="shared" si="26"/>
        <v>167.39361702127658</v>
      </c>
      <c r="R41" s="74">
        <f t="shared" si="27"/>
        <v>36.719256434699716</v>
      </c>
      <c r="S41" s="92">
        <f t="shared" si="28"/>
        <v>20.877659574468083</v>
      </c>
      <c r="T41" s="93">
        <f t="shared" si="29"/>
        <v>0.6914893617021276</v>
      </c>
      <c r="V41" s="108" t="str">
        <f t="shared" si="30"/>
        <v>Canada</v>
      </c>
      <c r="W41" s="109">
        <f t="shared" si="31"/>
        <v>177.87411250519688</v>
      </c>
      <c r="X41" s="103">
        <f t="shared" si="32"/>
        <v>2.6768257619321448E-3</v>
      </c>
    </row>
    <row r="42" spans="2:24" ht="15" thickBot="1" x14ac:dyDescent="0.35">
      <c r="B42" s="6" t="s">
        <v>9</v>
      </c>
      <c r="C42" s="7">
        <v>160530</v>
      </c>
      <c r="D42" s="7">
        <v>327</v>
      </c>
      <c r="E42" s="7">
        <v>5506</v>
      </c>
      <c r="F42" s="7">
        <v>2939</v>
      </c>
      <c r="G42" s="7">
        <v>944854</v>
      </c>
      <c r="H42" s="82">
        <f t="shared" si="21"/>
        <v>152085</v>
      </c>
      <c r="I42" s="112"/>
      <c r="J42" s="112"/>
      <c r="K42" s="78">
        <f t="shared" si="19"/>
        <v>2889.4617737003059</v>
      </c>
      <c r="L42" s="24">
        <f t="shared" si="20"/>
        <v>490.91743119266056</v>
      </c>
      <c r="M42" s="31">
        <f t="shared" si="22"/>
        <v>0.35922460251494759</v>
      </c>
      <c r="N42" s="33">
        <f t="shared" si="23"/>
        <v>0.34801657785671997</v>
      </c>
      <c r="O42" s="28">
        <f>F42/D42</f>
        <v>8.9877675840978597</v>
      </c>
      <c r="P42" s="40">
        <f t="shared" si="25"/>
        <v>1.8308104404161217E-2</v>
      </c>
      <c r="Q42" s="41">
        <f t="shared" si="26"/>
        <v>465.09174311926603</v>
      </c>
      <c r="R42" s="72">
        <f t="shared" si="27"/>
        <v>6.2126705460762075</v>
      </c>
      <c r="S42" s="92">
        <f t="shared" si="28"/>
        <v>64.672782874617738</v>
      </c>
      <c r="T42" s="93">
        <f t="shared" si="29"/>
        <v>2.978593272171254</v>
      </c>
      <c r="V42" s="108" t="str">
        <f t="shared" si="30"/>
        <v>USA</v>
      </c>
      <c r="W42" s="109">
        <f t="shared" si="31"/>
        <v>33.113407012926793</v>
      </c>
      <c r="X42" s="103">
        <f t="shared" si="32"/>
        <v>1.4112129456962339E-2</v>
      </c>
    </row>
    <row r="43" spans="2:24" ht="15" thickBot="1" x14ac:dyDescent="0.35"/>
    <row r="44" spans="2:24" ht="28.8" x14ac:dyDescent="0.3">
      <c r="B44" s="17">
        <v>47908</v>
      </c>
      <c r="C44" s="18" t="s">
        <v>8</v>
      </c>
      <c r="D44" s="19" t="s">
        <v>17</v>
      </c>
      <c r="E44" s="19" t="s">
        <v>15</v>
      </c>
      <c r="F44" s="19" t="s">
        <v>16</v>
      </c>
      <c r="G44" s="19" t="s">
        <v>14</v>
      </c>
      <c r="H44" s="19" t="s">
        <v>38</v>
      </c>
      <c r="I44" s="19"/>
      <c r="J44" s="19"/>
      <c r="K44" s="19" t="s">
        <v>21</v>
      </c>
      <c r="L44" s="19" t="s">
        <v>20</v>
      </c>
      <c r="M44" s="19" t="s">
        <v>40</v>
      </c>
      <c r="N44" s="19" t="s">
        <v>32</v>
      </c>
      <c r="O44" s="20" t="s">
        <v>22</v>
      </c>
      <c r="P44" s="20" t="s">
        <v>34</v>
      </c>
      <c r="Q44" s="20" t="s">
        <v>35</v>
      </c>
      <c r="R44" s="63" t="s">
        <v>39</v>
      </c>
      <c r="S44" s="91" t="s">
        <v>43</v>
      </c>
      <c r="T44" s="91" t="s">
        <v>44</v>
      </c>
    </row>
    <row r="45" spans="2:24" x14ac:dyDescent="0.3">
      <c r="B45" s="3" t="s">
        <v>0</v>
      </c>
      <c r="C45" s="1">
        <v>1966</v>
      </c>
      <c r="D45" s="14">
        <v>14.45</v>
      </c>
      <c r="E45" s="1">
        <v>534</v>
      </c>
      <c r="F45" s="1">
        <v>33</v>
      </c>
      <c r="G45" s="1">
        <v>51629</v>
      </c>
      <c r="H45" s="1">
        <f>C45-E45-F45</f>
        <v>1399</v>
      </c>
      <c r="I45" s="1"/>
      <c r="J45" s="1"/>
      <c r="K45" s="21">
        <f t="shared" ref="K45:K56" si="33">G45/D45</f>
        <v>3572.9411764705883</v>
      </c>
      <c r="L45" s="21">
        <f t="shared" ref="L45:L56" si="34">C45/D45</f>
        <v>136.05536332179932</v>
      </c>
      <c r="M45" s="31">
        <f>(H45-H31)/H31</f>
        <v>0.12640901771336555</v>
      </c>
      <c r="N45" s="31">
        <f>F45/(E45+F45)</f>
        <v>5.8201058201058198E-2</v>
      </c>
      <c r="O45" s="25">
        <f>F45/D45</f>
        <v>2.2837370242214532</v>
      </c>
      <c r="P45" s="34">
        <f>F45/C45</f>
        <v>1.6785350966429299E-2</v>
      </c>
      <c r="Q45" s="35">
        <f>(C45-E45-F45)/D45</f>
        <v>96.816608996539799</v>
      </c>
      <c r="R45" s="66">
        <f>G45/H45</f>
        <v>36.904217298070051</v>
      </c>
      <c r="S45" s="92">
        <f t="shared" ref="S45:S56" si="35">(C45-C31)/D45</f>
        <v>17.993079584775089</v>
      </c>
      <c r="T45" s="93">
        <f>(F45-F31)/D45</f>
        <v>0</v>
      </c>
    </row>
    <row r="46" spans="2:24" x14ac:dyDescent="0.3">
      <c r="B46" s="5" t="s">
        <v>1</v>
      </c>
      <c r="C46" s="1">
        <v>4162</v>
      </c>
      <c r="D46" s="14">
        <v>8.43</v>
      </c>
      <c r="E46" s="1">
        <v>29</v>
      </c>
      <c r="F46" s="1">
        <v>31</v>
      </c>
      <c r="G46" s="1">
        <v>73141</v>
      </c>
      <c r="H46" s="1">
        <f t="shared" ref="H46:H56" si="36">C46-E46-F46</f>
        <v>4102</v>
      </c>
      <c r="I46" s="1"/>
      <c r="J46" s="1"/>
      <c r="K46" s="21">
        <f t="shared" si="33"/>
        <v>8676.2752075919343</v>
      </c>
      <c r="L46" s="21">
        <f t="shared" si="34"/>
        <v>493.7129300118624</v>
      </c>
      <c r="M46" s="31">
        <f t="shared" ref="M46:M56" si="37">(H46-H32)/H32</f>
        <v>0.21504739336492892</v>
      </c>
      <c r="N46" s="31">
        <f t="shared" ref="N46:N56" si="38">F46/(E46+F46)</f>
        <v>0.51666666666666672</v>
      </c>
      <c r="O46" s="25">
        <f t="shared" ref="O46:O54" si="39">F46/D46</f>
        <v>3.6773428232502967</v>
      </c>
      <c r="P46" s="34">
        <f t="shared" ref="P46:P56" si="40">F46/C46</f>
        <v>7.448342143200384E-3</v>
      </c>
      <c r="Q46" s="35">
        <f t="shared" ref="Q46:Q56" si="41">(C46-E46-F46)/D46</f>
        <v>486.59549228944246</v>
      </c>
      <c r="R46" s="66">
        <f t="shared" ref="R46:R56" si="42">G46/H46</f>
        <v>17.830570453437346</v>
      </c>
      <c r="S46" s="92">
        <f t="shared" si="35"/>
        <v>86.832740213523138</v>
      </c>
      <c r="T46" s="93">
        <f t="shared" ref="T46:T56" si="43">(F46-F32)/D46</f>
        <v>0.71174377224199292</v>
      </c>
    </row>
    <row r="47" spans="2:24" x14ac:dyDescent="0.3">
      <c r="B47" s="5" t="s">
        <v>2</v>
      </c>
      <c r="C47" s="1">
        <v>1013</v>
      </c>
      <c r="D47" s="14">
        <v>5.0199999999999996</v>
      </c>
      <c r="E47" s="1">
        <v>507</v>
      </c>
      <c r="F47" s="1">
        <v>24</v>
      </c>
      <c r="G47" s="1">
        <v>42028</v>
      </c>
      <c r="H47" s="1">
        <f t="shared" si="36"/>
        <v>482</v>
      </c>
      <c r="I47" s="1"/>
      <c r="J47" s="1"/>
      <c r="K47" s="21">
        <f t="shared" si="33"/>
        <v>8372.1115537848618</v>
      </c>
      <c r="L47" s="21">
        <f t="shared" si="34"/>
        <v>201.79282868525897</v>
      </c>
      <c r="M47" s="31">
        <f t="shared" si="37"/>
        <v>0</v>
      </c>
      <c r="N47" s="31">
        <f t="shared" si="38"/>
        <v>4.519774011299435E-2</v>
      </c>
      <c r="O47" s="25">
        <f t="shared" si="39"/>
        <v>4.7808764940239046</v>
      </c>
      <c r="P47" s="34">
        <f t="shared" si="40"/>
        <v>2.3692003948667325E-2</v>
      </c>
      <c r="Q47" s="35">
        <f t="shared" si="41"/>
        <v>96.01593625498009</v>
      </c>
      <c r="R47" s="66">
        <f t="shared" si="42"/>
        <v>87.195020746887963</v>
      </c>
      <c r="S47" s="92">
        <f t="shared" si="35"/>
        <v>8.56573705179283</v>
      </c>
      <c r="T47" s="93">
        <f t="shared" si="43"/>
        <v>0.99601593625498019</v>
      </c>
    </row>
    <row r="48" spans="2:24" x14ac:dyDescent="0.3">
      <c r="B48" s="5" t="s">
        <v>3</v>
      </c>
      <c r="C48" s="1">
        <v>754</v>
      </c>
      <c r="D48" s="14">
        <v>4.34</v>
      </c>
      <c r="E48" s="1">
        <v>120</v>
      </c>
      <c r="F48" s="1">
        <v>9</v>
      </c>
      <c r="G48" s="1">
        <v>48692</v>
      </c>
      <c r="H48" s="1">
        <f t="shared" si="36"/>
        <v>625</v>
      </c>
      <c r="I48" s="1"/>
      <c r="J48" s="1"/>
      <c r="K48" s="21">
        <f t="shared" si="33"/>
        <v>11219.354838709678</v>
      </c>
      <c r="L48" s="21">
        <f t="shared" si="34"/>
        <v>173.73271889400922</v>
      </c>
      <c r="M48" s="31">
        <f t="shared" si="37"/>
        <v>6.2925170068027211E-2</v>
      </c>
      <c r="N48" s="31">
        <f t="shared" si="38"/>
        <v>6.9767441860465115E-2</v>
      </c>
      <c r="O48" s="25">
        <f t="shared" si="39"/>
        <v>2.0737327188940093</v>
      </c>
      <c r="P48" s="34">
        <f t="shared" si="40"/>
        <v>1.1936339522546418E-2</v>
      </c>
      <c r="Q48" s="35">
        <f t="shared" si="41"/>
        <v>144.00921658986175</v>
      </c>
      <c r="R48" s="66">
        <f t="shared" si="42"/>
        <v>77.907200000000003</v>
      </c>
      <c r="S48" s="92">
        <f t="shared" si="35"/>
        <v>14.746543778801843</v>
      </c>
      <c r="T48" s="93">
        <f t="shared" si="43"/>
        <v>0.2304147465437788</v>
      </c>
    </row>
    <row r="49" spans="2:20" x14ac:dyDescent="0.3">
      <c r="B49" s="5" t="s">
        <v>4</v>
      </c>
      <c r="C49" s="1">
        <v>103</v>
      </c>
      <c r="D49" s="14">
        <v>1.36</v>
      </c>
      <c r="E49" s="1">
        <v>4</v>
      </c>
      <c r="F49" s="1">
        <v>1</v>
      </c>
      <c r="G49" s="1">
        <v>8550</v>
      </c>
      <c r="H49" s="1">
        <f t="shared" si="36"/>
        <v>98</v>
      </c>
      <c r="I49" s="1"/>
      <c r="J49" s="1"/>
      <c r="K49" s="21">
        <f t="shared" si="33"/>
        <v>6286.7647058823522</v>
      </c>
      <c r="L49" s="21">
        <f t="shared" si="34"/>
        <v>75.735294117647058</v>
      </c>
      <c r="M49" s="31">
        <f t="shared" si="37"/>
        <v>5.3763440860215055E-2</v>
      </c>
      <c r="N49" s="31">
        <f t="shared" si="38"/>
        <v>0.2</v>
      </c>
      <c r="O49" s="25">
        <f t="shared" si="39"/>
        <v>0.73529411764705876</v>
      </c>
      <c r="P49" s="34">
        <f t="shared" si="40"/>
        <v>9.7087378640776691E-3</v>
      </c>
      <c r="Q49" s="35">
        <f t="shared" si="41"/>
        <v>72.058823529411754</v>
      </c>
      <c r="R49" s="66">
        <f t="shared" si="42"/>
        <v>87.244897959183675</v>
      </c>
      <c r="S49" s="92">
        <f t="shared" si="35"/>
        <v>5.1470588235294112</v>
      </c>
      <c r="T49" s="93">
        <f t="shared" si="43"/>
        <v>0</v>
      </c>
    </row>
    <row r="50" spans="2:20" x14ac:dyDescent="0.3">
      <c r="B50" s="5" t="s">
        <v>5</v>
      </c>
      <c r="C50" s="1">
        <v>184</v>
      </c>
      <c r="D50" s="14">
        <v>1.17</v>
      </c>
      <c r="E50" s="1">
        <v>21</v>
      </c>
      <c r="F50" s="1">
        <v>2</v>
      </c>
      <c r="G50" s="1">
        <v>10261</v>
      </c>
      <c r="H50" s="1">
        <f t="shared" si="36"/>
        <v>161</v>
      </c>
      <c r="I50" s="1"/>
      <c r="J50" s="1"/>
      <c r="K50" s="21">
        <f t="shared" si="33"/>
        <v>8770.0854700854707</v>
      </c>
      <c r="L50" s="21">
        <f t="shared" si="34"/>
        <v>157.26495726495727</v>
      </c>
      <c r="M50" s="31">
        <f t="shared" si="37"/>
        <v>-3.0120481927710843E-2</v>
      </c>
      <c r="N50" s="31">
        <f t="shared" si="38"/>
        <v>8.6956521739130432E-2</v>
      </c>
      <c r="O50" s="25">
        <f t="shared" si="39"/>
        <v>1.7094017094017095</v>
      </c>
      <c r="P50" s="34">
        <f t="shared" si="40"/>
        <v>1.0869565217391304E-2</v>
      </c>
      <c r="Q50" s="35">
        <f t="shared" si="41"/>
        <v>137.60683760683762</v>
      </c>
      <c r="R50" s="66">
        <f t="shared" si="42"/>
        <v>63.732919254658384</v>
      </c>
      <c r="S50" s="92">
        <f t="shared" si="35"/>
        <v>6.8376068376068382</v>
      </c>
      <c r="T50" s="93">
        <f t="shared" si="43"/>
        <v>0</v>
      </c>
    </row>
    <row r="51" spans="2:20" x14ac:dyDescent="0.3">
      <c r="B51" s="5" t="s">
        <v>6</v>
      </c>
      <c r="C51" s="1">
        <v>147</v>
      </c>
      <c r="D51" s="14">
        <v>0.96499999999999997</v>
      </c>
      <c r="E51" s="1">
        <v>10</v>
      </c>
      <c r="F51" s="1">
        <v>0</v>
      </c>
      <c r="G51" s="1">
        <f>5763+C51</f>
        <v>5910</v>
      </c>
      <c r="H51" s="1">
        <f t="shared" si="36"/>
        <v>137</v>
      </c>
      <c r="I51" s="1"/>
      <c r="J51" s="1"/>
      <c r="K51" s="21">
        <f t="shared" si="33"/>
        <v>6124.3523316062174</v>
      </c>
      <c r="L51" s="21">
        <f t="shared" si="34"/>
        <v>152.33160621761658</v>
      </c>
      <c r="M51" s="31">
        <f t="shared" si="37"/>
        <v>0.17094017094017094</v>
      </c>
      <c r="N51" s="31">
        <f t="shared" si="38"/>
        <v>0</v>
      </c>
      <c r="O51" s="25">
        <f t="shared" si="39"/>
        <v>0</v>
      </c>
      <c r="P51" s="34">
        <f t="shared" si="40"/>
        <v>0</v>
      </c>
      <c r="Q51" s="35">
        <f t="shared" si="41"/>
        <v>141.96891191709844</v>
      </c>
      <c r="R51" s="66">
        <f t="shared" si="42"/>
        <v>43.138686131386862</v>
      </c>
      <c r="S51" s="92">
        <f t="shared" si="35"/>
        <v>20.725388601036268</v>
      </c>
      <c r="T51" s="93">
        <f t="shared" si="43"/>
        <v>0</v>
      </c>
    </row>
    <row r="52" spans="2:20" x14ac:dyDescent="0.3">
      <c r="B52" s="5" t="s">
        <v>7</v>
      </c>
      <c r="C52" s="1">
        <v>70</v>
      </c>
      <c r="D52" s="14">
        <v>0.77200000000000002</v>
      </c>
      <c r="E52" s="1">
        <v>9</v>
      </c>
      <c r="F52" s="1">
        <v>0</v>
      </c>
      <c r="G52" s="1">
        <v>3234</v>
      </c>
      <c r="H52" s="1">
        <f t="shared" si="36"/>
        <v>61</v>
      </c>
      <c r="I52" s="1"/>
      <c r="J52" s="1"/>
      <c r="K52" s="21">
        <f t="shared" si="33"/>
        <v>4189.1191709844561</v>
      </c>
      <c r="L52" s="21">
        <f t="shared" si="34"/>
        <v>90.673575129533674</v>
      </c>
      <c r="M52" s="31">
        <f t="shared" si="37"/>
        <v>-7.575757575757576E-2</v>
      </c>
      <c r="N52" s="31">
        <f t="shared" si="38"/>
        <v>0</v>
      </c>
      <c r="O52" s="25">
        <f t="shared" si="39"/>
        <v>0</v>
      </c>
      <c r="P52" s="34">
        <f t="shared" si="40"/>
        <v>0</v>
      </c>
      <c r="Q52" s="35">
        <f t="shared" si="41"/>
        <v>79.015544041450781</v>
      </c>
      <c r="R52" s="66">
        <f t="shared" si="42"/>
        <v>53.016393442622949</v>
      </c>
      <c r="S52" s="92">
        <f t="shared" si="35"/>
        <v>2.5906735751295336</v>
      </c>
      <c r="T52" s="93">
        <f t="shared" si="43"/>
        <v>0</v>
      </c>
    </row>
    <row r="53" spans="2:20" x14ac:dyDescent="0.3">
      <c r="B53" s="5" t="s">
        <v>18</v>
      </c>
      <c r="C53" s="9">
        <v>21</v>
      </c>
      <c r="D53" s="15">
        <v>0.154</v>
      </c>
      <c r="E53" s="9">
        <v>1</v>
      </c>
      <c r="F53" s="9">
        <v>0</v>
      </c>
      <c r="G53" s="9">
        <v>838</v>
      </c>
      <c r="H53" s="1">
        <f t="shared" si="36"/>
        <v>20</v>
      </c>
      <c r="I53" s="9"/>
      <c r="J53" s="9"/>
      <c r="K53" s="22">
        <f t="shared" si="33"/>
        <v>5441.5584415584417</v>
      </c>
      <c r="L53" s="22">
        <f t="shared" si="34"/>
        <v>136.36363636363637</v>
      </c>
      <c r="M53" s="31">
        <f t="shared" si="37"/>
        <v>0.17647058823529413</v>
      </c>
      <c r="N53" s="31">
        <f t="shared" si="38"/>
        <v>0</v>
      </c>
      <c r="O53" s="26">
        <f t="shared" si="39"/>
        <v>0</v>
      </c>
      <c r="P53" s="34">
        <f t="shared" si="40"/>
        <v>0</v>
      </c>
      <c r="Q53" s="35">
        <f t="shared" si="41"/>
        <v>129.87012987012986</v>
      </c>
      <c r="R53" s="66">
        <f t="shared" si="42"/>
        <v>41.9</v>
      </c>
      <c r="S53" s="92">
        <f t="shared" si="35"/>
        <v>19.480519480519479</v>
      </c>
      <c r="T53" s="93">
        <f t="shared" si="43"/>
        <v>0</v>
      </c>
    </row>
    <row r="54" spans="2:20" ht="15" thickBot="1" x14ac:dyDescent="0.35">
      <c r="B54" s="5" t="s">
        <v>11</v>
      </c>
      <c r="C54" s="9">
        <v>152</v>
      </c>
      <c r="D54" s="15">
        <v>0.52400000000000002</v>
      </c>
      <c r="E54" s="9">
        <v>7</v>
      </c>
      <c r="F54" s="9">
        <v>1</v>
      </c>
      <c r="G54" s="9">
        <v>2575</v>
      </c>
      <c r="H54" s="1">
        <f t="shared" si="36"/>
        <v>144</v>
      </c>
      <c r="I54" s="9"/>
      <c r="J54" s="9"/>
      <c r="K54" s="22">
        <f t="shared" si="33"/>
        <v>4914.1221374045799</v>
      </c>
      <c r="L54" s="22">
        <f t="shared" si="34"/>
        <v>290.07633587786256</v>
      </c>
      <c r="M54" s="31">
        <f t="shared" si="37"/>
        <v>6.993006993006993E-3</v>
      </c>
      <c r="N54" s="32">
        <f t="shared" si="38"/>
        <v>0.125</v>
      </c>
      <c r="O54" s="26">
        <f t="shared" si="39"/>
        <v>1.9083969465648853</v>
      </c>
      <c r="P54" s="36">
        <f t="shared" si="40"/>
        <v>6.5789473684210523E-3</v>
      </c>
      <c r="Q54" s="37">
        <f t="shared" si="41"/>
        <v>274.80916030534348</v>
      </c>
      <c r="R54" s="67">
        <f t="shared" si="42"/>
        <v>17.881944444444443</v>
      </c>
      <c r="S54" s="92">
        <f t="shared" si="35"/>
        <v>7.6335877862595414</v>
      </c>
      <c r="T54" s="93">
        <f t="shared" si="43"/>
        <v>0</v>
      </c>
    </row>
    <row r="55" spans="2:20" ht="15" thickBot="1" x14ac:dyDescent="0.35">
      <c r="B55" s="11" t="s">
        <v>10</v>
      </c>
      <c r="C55" s="12">
        <v>8591</v>
      </c>
      <c r="D55" s="16">
        <v>37.6</v>
      </c>
      <c r="E55" s="12">
        <v>1242</v>
      </c>
      <c r="F55" s="12">
        <f>SUM(F45:F54)</f>
        <v>101</v>
      </c>
      <c r="G55" s="12">
        <f>SUM(G45:G54)</f>
        <v>246858</v>
      </c>
      <c r="H55" s="1">
        <f t="shared" si="36"/>
        <v>7248</v>
      </c>
      <c r="I55" s="113"/>
      <c r="J55" s="113"/>
      <c r="K55" s="23">
        <f t="shared" si="33"/>
        <v>6565.3723404255315</v>
      </c>
      <c r="L55" s="23">
        <f t="shared" si="34"/>
        <v>228.48404255319147</v>
      </c>
      <c r="M55" s="31">
        <f t="shared" si="37"/>
        <v>0.15157292659675881</v>
      </c>
      <c r="N55" s="33">
        <f t="shared" si="38"/>
        <v>7.520476545048399E-2</v>
      </c>
      <c r="O55" s="27">
        <f>F55/D55</f>
        <v>2.6861702127659575</v>
      </c>
      <c r="P55" s="38">
        <f t="shared" si="40"/>
        <v>1.1756489349319055E-2</v>
      </c>
      <c r="Q55" s="39">
        <f t="shared" si="41"/>
        <v>192.7659574468085</v>
      </c>
      <c r="R55" s="74">
        <f t="shared" si="42"/>
        <v>34.058774834437088</v>
      </c>
      <c r="S55" s="92">
        <f t="shared" si="35"/>
        <v>30.398936170212764</v>
      </c>
      <c r="T55" s="93">
        <f t="shared" si="43"/>
        <v>0.31914893617021273</v>
      </c>
    </row>
    <row r="56" spans="2:20" ht="15" thickBot="1" x14ac:dyDescent="0.35">
      <c r="B56" s="6" t="s">
        <v>9</v>
      </c>
      <c r="C56" s="7">
        <v>184770</v>
      </c>
      <c r="D56" s="7">
        <v>327</v>
      </c>
      <c r="E56" s="7">
        <v>6461</v>
      </c>
      <c r="F56" s="7">
        <v>3746</v>
      </c>
      <c r="G56" s="7">
        <v>1048971</v>
      </c>
      <c r="H56" s="1">
        <f t="shared" si="36"/>
        <v>174563</v>
      </c>
      <c r="I56" s="113"/>
      <c r="J56" s="113"/>
      <c r="K56" s="24">
        <f t="shared" si="33"/>
        <v>3207.8623853211011</v>
      </c>
      <c r="L56" s="24">
        <f t="shared" si="34"/>
        <v>565.04587155963304</v>
      </c>
      <c r="M56" s="31">
        <f t="shared" si="37"/>
        <v>0.1477989282309235</v>
      </c>
      <c r="N56" s="33">
        <f t="shared" si="38"/>
        <v>0.36700303713138044</v>
      </c>
      <c r="O56" s="28">
        <f>F56/D56</f>
        <v>11.455657492354741</v>
      </c>
      <c r="P56" s="40">
        <f t="shared" si="40"/>
        <v>2.0273853980624559E-2</v>
      </c>
      <c r="Q56" s="41">
        <f t="shared" si="41"/>
        <v>533.83180428134551</v>
      </c>
      <c r="R56" s="72">
        <f t="shared" si="42"/>
        <v>6.0091256451825412</v>
      </c>
      <c r="S56" s="92">
        <f t="shared" si="35"/>
        <v>74.128440366972484</v>
      </c>
      <c r="T56" s="93">
        <f t="shared" si="43"/>
        <v>2.4678899082568808</v>
      </c>
    </row>
    <row r="57" spans="2:20" ht="15" thickBot="1" x14ac:dyDescent="0.35"/>
    <row r="58" spans="2:20" ht="28.8" x14ac:dyDescent="0.3">
      <c r="B58" s="17">
        <v>36982</v>
      </c>
      <c r="C58" s="18" t="s">
        <v>8</v>
      </c>
      <c r="D58" s="19" t="s">
        <v>17</v>
      </c>
      <c r="E58" s="19" t="s">
        <v>15</v>
      </c>
      <c r="F58" s="19" t="s">
        <v>16</v>
      </c>
      <c r="G58" s="19" t="s">
        <v>14</v>
      </c>
      <c r="H58" s="19" t="s">
        <v>38</v>
      </c>
      <c r="I58" s="19"/>
      <c r="J58" s="19"/>
      <c r="K58" s="19" t="s">
        <v>21</v>
      </c>
      <c r="L58" s="19" t="s">
        <v>20</v>
      </c>
      <c r="M58" s="19" t="s">
        <v>40</v>
      </c>
      <c r="N58" s="19" t="s">
        <v>32</v>
      </c>
      <c r="O58" s="20" t="s">
        <v>22</v>
      </c>
      <c r="P58" s="20" t="s">
        <v>34</v>
      </c>
      <c r="Q58" s="20" t="s">
        <v>35</v>
      </c>
      <c r="R58" s="63" t="s">
        <v>39</v>
      </c>
      <c r="S58" s="91" t="s">
        <v>43</v>
      </c>
      <c r="T58" s="91" t="s">
        <v>44</v>
      </c>
    </row>
    <row r="59" spans="2:20" x14ac:dyDescent="0.3">
      <c r="B59" s="3" t="s">
        <v>0</v>
      </c>
      <c r="C59" s="1">
        <v>2392</v>
      </c>
      <c r="D59" s="14">
        <v>14.45</v>
      </c>
      <c r="E59" s="1">
        <v>689</v>
      </c>
      <c r="F59" s="1">
        <v>37</v>
      </c>
      <c r="G59" s="1">
        <v>57874</v>
      </c>
      <c r="H59" s="1">
        <f>C59-E59-F59</f>
        <v>1666</v>
      </c>
      <c r="I59" s="1"/>
      <c r="J59" s="1"/>
      <c r="K59" s="21">
        <f t="shared" ref="K59:K70" si="44">G59/D59</f>
        <v>4005.121107266436</v>
      </c>
      <c r="L59" s="21">
        <f t="shared" ref="L59:L70" si="45">C59/D59</f>
        <v>165.53633217993081</v>
      </c>
      <c r="M59" s="31">
        <f>(H59-H45)/H45</f>
        <v>0.19085060757684061</v>
      </c>
      <c r="N59" s="31">
        <f>F59/(E59+F59)</f>
        <v>5.0964187327823693E-2</v>
      </c>
      <c r="O59" s="25">
        <f>F59/D59</f>
        <v>2.5605536332179932</v>
      </c>
      <c r="P59" s="34">
        <f>F59/C59</f>
        <v>1.5468227424749164E-2</v>
      </c>
      <c r="Q59" s="35">
        <f>(C59-E59-F59)/D59</f>
        <v>115.29411764705883</v>
      </c>
      <c r="R59" s="66">
        <f>G59/H59</f>
        <v>34.73829531812725</v>
      </c>
      <c r="S59" s="92">
        <f t="shared" ref="S59:S70" si="46">(C59-C45)/D59</f>
        <v>29.48096885813149</v>
      </c>
      <c r="T59" s="93">
        <f>(F59-F45)/D59</f>
        <v>0.27681660899653981</v>
      </c>
    </row>
    <row r="60" spans="2:20" x14ac:dyDescent="0.3">
      <c r="B60" s="5" t="s">
        <v>1</v>
      </c>
      <c r="C60" s="1">
        <v>4611</v>
      </c>
      <c r="D60" s="14">
        <v>8.43</v>
      </c>
      <c r="E60" s="1">
        <v>29</v>
      </c>
      <c r="F60" s="1">
        <v>33</v>
      </c>
      <c r="G60" s="1">
        <v>75463</v>
      </c>
      <c r="H60" s="1">
        <f t="shared" ref="H60:H70" si="47">C60-E60-F60</f>
        <v>4549</v>
      </c>
      <c r="I60" s="1"/>
      <c r="J60" s="1"/>
      <c r="K60" s="21">
        <f t="shared" si="44"/>
        <v>8951.7200474495858</v>
      </c>
      <c r="L60" s="21">
        <f t="shared" si="45"/>
        <v>546.9750889679716</v>
      </c>
      <c r="M60" s="31">
        <f t="shared" ref="M60:M70" si="48">(H60-H46)/H46</f>
        <v>0.10897123354461238</v>
      </c>
      <c r="N60" s="31">
        <f t="shared" ref="N60:N70" si="49">F60/(E60+F60)</f>
        <v>0.532258064516129</v>
      </c>
      <c r="O60" s="25">
        <f t="shared" ref="O60:O68" si="50">F60/D60</f>
        <v>3.9145907473309611</v>
      </c>
      <c r="P60" s="34">
        <f t="shared" ref="P60:P70" si="51">F60/C60</f>
        <v>7.1567989590110605E-3</v>
      </c>
      <c r="Q60" s="35">
        <f t="shared" ref="Q60:Q70" si="52">(C60-E60-F60)/D60</f>
        <v>539.62040332147092</v>
      </c>
      <c r="R60" s="66">
        <f t="shared" ref="R60:R70" si="53">G60/H60</f>
        <v>16.588920641899318</v>
      </c>
      <c r="S60" s="92">
        <f t="shared" si="46"/>
        <v>53.262158956109133</v>
      </c>
      <c r="T60" s="93">
        <f t="shared" ref="T60:T70" si="54">(F60-F46)/D60</f>
        <v>0.23724792408066431</v>
      </c>
    </row>
    <row r="61" spans="2:20" x14ac:dyDescent="0.3">
      <c r="B61" s="5" t="s">
        <v>2</v>
      </c>
      <c r="C61" s="1">
        <v>1066</v>
      </c>
      <c r="D61" s="14">
        <v>5.0199999999999996</v>
      </c>
      <c r="E61" s="1">
        <v>606</v>
      </c>
      <c r="F61" s="1">
        <v>25</v>
      </c>
      <c r="G61" s="1">
        <v>43229</v>
      </c>
      <c r="H61" s="1">
        <f t="shared" si="47"/>
        <v>435</v>
      </c>
      <c r="I61" s="1"/>
      <c r="J61" s="1"/>
      <c r="K61" s="21">
        <f t="shared" si="44"/>
        <v>8611.3545816733076</v>
      </c>
      <c r="L61" s="21">
        <f t="shared" si="45"/>
        <v>212.35059760956176</v>
      </c>
      <c r="M61" s="31">
        <f t="shared" si="48"/>
        <v>-9.7510373443983403E-2</v>
      </c>
      <c r="N61" s="31">
        <f t="shared" si="49"/>
        <v>3.9619651347068144E-2</v>
      </c>
      <c r="O61" s="25">
        <f t="shared" si="50"/>
        <v>4.9800796812749004</v>
      </c>
      <c r="P61" s="34">
        <f t="shared" si="51"/>
        <v>2.3452157598499061E-2</v>
      </c>
      <c r="Q61" s="35">
        <f t="shared" si="52"/>
        <v>86.653386454183277</v>
      </c>
      <c r="R61" s="66">
        <f t="shared" si="53"/>
        <v>99.377011494252869</v>
      </c>
      <c r="S61" s="92">
        <f t="shared" si="46"/>
        <v>10.55776892430279</v>
      </c>
      <c r="T61" s="93">
        <f t="shared" si="54"/>
        <v>0.19920318725099603</v>
      </c>
    </row>
    <row r="62" spans="2:20" x14ac:dyDescent="0.3">
      <c r="B62" s="5" t="s">
        <v>3</v>
      </c>
      <c r="C62" s="1">
        <v>871</v>
      </c>
      <c r="D62" s="14">
        <v>4.34</v>
      </c>
      <c r="E62" s="1">
        <v>142</v>
      </c>
      <c r="F62" s="1">
        <v>11</v>
      </c>
      <c r="G62" s="1">
        <v>53141</v>
      </c>
      <c r="H62" s="1">
        <f t="shared" si="47"/>
        <v>718</v>
      </c>
      <c r="I62" s="1"/>
      <c r="J62" s="1"/>
      <c r="K62" s="21">
        <f t="shared" si="44"/>
        <v>12244.47004608295</v>
      </c>
      <c r="L62" s="21">
        <f t="shared" si="45"/>
        <v>200.69124423963135</v>
      </c>
      <c r="M62" s="31">
        <f t="shared" si="48"/>
        <v>0.14879999999999999</v>
      </c>
      <c r="N62" s="31">
        <f t="shared" si="49"/>
        <v>7.1895424836601302E-2</v>
      </c>
      <c r="O62" s="25">
        <f t="shared" si="50"/>
        <v>2.5345622119815667</v>
      </c>
      <c r="P62" s="34">
        <f t="shared" si="51"/>
        <v>1.2629161882893225E-2</v>
      </c>
      <c r="Q62" s="35">
        <f t="shared" si="52"/>
        <v>165.4377880184332</v>
      </c>
      <c r="R62" s="66">
        <f t="shared" si="53"/>
        <v>74.012534818941504</v>
      </c>
      <c r="S62" s="92">
        <f t="shared" si="46"/>
        <v>26.958525345622121</v>
      </c>
      <c r="T62" s="93">
        <f t="shared" si="54"/>
        <v>0.46082949308755761</v>
      </c>
    </row>
    <row r="63" spans="2:20" x14ac:dyDescent="0.3">
      <c r="B63" s="5" t="s">
        <v>4</v>
      </c>
      <c r="C63" s="1">
        <v>127</v>
      </c>
      <c r="D63" s="14">
        <v>1.36</v>
      </c>
      <c r="E63" s="1">
        <v>4</v>
      </c>
      <c r="F63" s="1">
        <v>1</v>
      </c>
      <c r="G63" s="1">
        <v>10044</v>
      </c>
      <c r="H63" s="1">
        <f t="shared" si="47"/>
        <v>122</v>
      </c>
      <c r="I63" s="1"/>
      <c r="J63" s="1"/>
      <c r="K63" s="21">
        <f t="shared" si="44"/>
        <v>7385.2941176470586</v>
      </c>
      <c r="L63" s="21">
        <f t="shared" si="45"/>
        <v>93.382352941176464</v>
      </c>
      <c r="M63" s="31">
        <f t="shared" si="48"/>
        <v>0.24489795918367346</v>
      </c>
      <c r="N63" s="31">
        <f t="shared" si="49"/>
        <v>0.2</v>
      </c>
      <c r="O63" s="25">
        <f t="shared" si="50"/>
        <v>0.73529411764705876</v>
      </c>
      <c r="P63" s="34">
        <f t="shared" si="51"/>
        <v>7.874015748031496E-3</v>
      </c>
      <c r="Q63" s="35">
        <f t="shared" si="52"/>
        <v>89.705882352941174</v>
      </c>
      <c r="R63" s="66">
        <f t="shared" si="53"/>
        <v>82.327868852459019</v>
      </c>
      <c r="S63" s="92">
        <f t="shared" si="46"/>
        <v>17.647058823529409</v>
      </c>
      <c r="T63" s="93">
        <f t="shared" si="54"/>
        <v>0</v>
      </c>
    </row>
    <row r="64" spans="2:20" x14ac:dyDescent="0.3">
      <c r="B64" s="5" t="s">
        <v>5</v>
      </c>
      <c r="C64" s="1">
        <v>193</v>
      </c>
      <c r="D64" s="14">
        <v>1.17</v>
      </c>
      <c r="E64" s="1">
        <v>30</v>
      </c>
      <c r="F64" s="1">
        <v>3</v>
      </c>
      <c r="G64" s="1">
        <v>10528</v>
      </c>
      <c r="H64" s="1">
        <f t="shared" si="47"/>
        <v>160</v>
      </c>
      <c r="I64" s="1"/>
      <c r="J64" s="1"/>
      <c r="K64" s="21">
        <f t="shared" si="44"/>
        <v>8998.2905982905995</v>
      </c>
      <c r="L64" s="21">
        <f t="shared" si="45"/>
        <v>164.95726495726495</v>
      </c>
      <c r="M64" s="31">
        <f t="shared" si="48"/>
        <v>-6.2111801242236021E-3</v>
      </c>
      <c r="N64" s="31">
        <f t="shared" si="49"/>
        <v>9.0909090909090912E-2</v>
      </c>
      <c r="O64" s="25">
        <f t="shared" si="50"/>
        <v>2.5641025641025643</v>
      </c>
      <c r="P64" s="34">
        <f t="shared" si="51"/>
        <v>1.5544041450777202E-2</v>
      </c>
      <c r="Q64" s="35">
        <f t="shared" si="52"/>
        <v>136.75213675213675</v>
      </c>
      <c r="R64" s="66">
        <f t="shared" si="53"/>
        <v>65.8</v>
      </c>
      <c r="S64" s="92">
        <f t="shared" si="46"/>
        <v>7.6923076923076925</v>
      </c>
      <c r="T64" s="93">
        <f t="shared" si="54"/>
        <v>0.85470085470085477</v>
      </c>
    </row>
    <row r="65" spans="2:20" x14ac:dyDescent="0.3">
      <c r="B65" s="5" t="s">
        <v>6</v>
      </c>
      <c r="C65" s="1">
        <v>173</v>
      </c>
      <c r="D65" s="14">
        <v>0.96499999999999997</v>
      </c>
      <c r="E65" s="1">
        <v>10</v>
      </c>
      <c r="F65" s="1">
        <v>0</v>
      </c>
      <c r="G65" s="1">
        <f>6591+C65</f>
        <v>6764</v>
      </c>
      <c r="H65" s="1">
        <f t="shared" si="47"/>
        <v>163</v>
      </c>
      <c r="I65" s="1"/>
      <c r="J65" s="1"/>
      <c r="K65" s="21">
        <f t="shared" si="44"/>
        <v>7009.3264248704663</v>
      </c>
      <c r="L65" s="21">
        <f t="shared" si="45"/>
        <v>179.27461139896374</v>
      </c>
      <c r="M65" s="31">
        <f t="shared" si="48"/>
        <v>0.18978102189781021</v>
      </c>
      <c r="N65" s="31">
        <f t="shared" si="49"/>
        <v>0</v>
      </c>
      <c r="O65" s="25">
        <f t="shared" si="50"/>
        <v>0</v>
      </c>
      <c r="P65" s="34">
        <f t="shared" si="51"/>
        <v>0</v>
      </c>
      <c r="Q65" s="35">
        <f t="shared" si="52"/>
        <v>168.9119170984456</v>
      </c>
      <c r="R65" s="66">
        <f t="shared" si="53"/>
        <v>41.49693251533742</v>
      </c>
      <c r="S65" s="92">
        <f t="shared" si="46"/>
        <v>26.94300518134715</v>
      </c>
      <c r="T65" s="93">
        <f t="shared" si="54"/>
        <v>0</v>
      </c>
    </row>
    <row r="66" spans="2:20" x14ac:dyDescent="0.3">
      <c r="B66" s="5" t="s">
        <v>7</v>
      </c>
      <c r="C66" s="1">
        <v>81</v>
      </c>
      <c r="D66" s="14">
        <v>0.77200000000000002</v>
      </c>
      <c r="E66" s="1">
        <v>14</v>
      </c>
      <c r="F66" s="1">
        <v>0</v>
      </c>
      <c r="G66" s="1">
        <v>4030</v>
      </c>
      <c r="H66" s="1">
        <f t="shared" si="47"/>
        <v>67</v>
      </c>
      <c r="I66" s="1"/>
      <c r="J66" s="1"/>
      <c r="K66" s="21">
        <f t="shared" si="44"/>
        <v>5220.2072538860102</v>
      </c>
      <c r="L66" s="21">
        <f t="shared" si="45"/>
        <v>104.92227979274611</v>
      </c>
      <c r="M66" s="31">
        <f t="shared" si="48"/>
        <v>9.8360655737704916E-2</v>
      </c>
      <c r="N66" s="31">
        <f t="shared" si="49"/>
        <v>0</v>
      </c>
      <c r="O66" s="25">
        <f t="shared" si="50"/>
        <v>0</v>
      </c>
      <c r="P66" s="34">
        <f t="shared" si="51"/>
        <v>0</v>
      </c>
      <c r="Q66" s="35">
        <f t="shared" si="52"/>
        <v>86.787564766839381</v>
      </c>
      <c r="R66" s="66">
        <f t="shared" si="53"/>
        <v>60.149253731343286</v>
      </c>
      <c r="S66" s="92">
        <f t="shared" si="46"/>
        <v>14.248704663212434</v>
      </c>
      <c r="T66" s="93">
        <f t="shared" si="54"/>
        <v>0</v>
      </c>
    </row>
    <row r="67" spans="2:20" x14ac:dyDescent="0.3">
      <c r="B67" s="5" t="s">
        <v>18</v>
      </c>
      <c r="C67" s="9">
        <v>21</v>
      </c>
      <c r="D67" s="15">
        <v>0.154</v>
      </c>
      <c r="E67" s="9">
        <v>10</v>
      </c>
      <c r="F67" s="9">
        <v>0</v>
      </c>
      <c r="G67" s="9">
        <v>838</v>
      </c>
      <c r="H67" s="1">
        <f t="shared" si="47"/>
        <v>11</v>
      </c>
      <c r="I67" s="9"/>
      <c r="J67" s="9"/>
      <c r="K67" s="22">
        <f t="shared" si="44"/>
        <v>5441.5584415584417</v>
      </c>
      <c r="L67" s="22">
        <f t="shared" si="45"/>
        <v>136.36363636363637</v>
      </c>
      <c r="M67" s="31">
        <f t="shared" si="48"/>
        <v>-0.45</v>
      </c>
      <c r="N67" s="31">
        <f t="shared" si="49"/>
        <v>0</v>
      </c>
      <c r="O67" s="26">
        <f t="shared" si="50"/>
        <v>0</v>
      </c>
      <c r="P67" s="34">
        <f t="shared" si="51"/>
        <v>0</v>
      </c>
      <c r="Q67" s="35">
        <f t="shared" si="52"/>
        <v>71.428571428571431</v>
      </c>
      <c r="R67" s="66">
        <f t="shared" si="53"/>
        <v>76.181818181818187</v>
      </c>
      <c r="S67" s="92">
        <f t="shared" si="46"/>
        <v>0</v>
      </c>
      <c r="T67" s="93">
        <f t="shared" si="54"/>
        <v>0</v>
      </c>
    </row>
    <row r="68" spans="2:20" ht="15" thickBot="1" x14ac:dyDescent="0.35">
      <c r="B68" s="5" t="s">
        <v>11</v>
      </c>
      <c r="C68" s="9">
        <v>175</v>
      </c>
      <c r="D68" s="15">
        <v>0.52400000000000002</v>
      </c>
      <c r="E68" s="9">
        <v>7</v>
      </c>
      <c r="F68" s="9">
        <v>1</v>
      </c>
      <c r="G68" s="9">
        <v>2575</v>
      </c>
      <c r="H68" s="9">
        <f t="shared" si="47"/>
        <v>167</v>
      </c>
      <c r="I68" s="9"/>
      <c r="J68" s="9"/>
      <c r="K68" s="22">
        <f t="shared" si="44"/>
        <v>4914.1221374045799</v>
      </c>
      <c r="L68" s="22">
        <f t="shared" si="45"/>
        <v>333.96946564885496</v>
      </c>
      <c r="M68" s="31">
        <f t="shared" si="48"/>
        <v>0.15972222222222221</v>
      </c>
      <c r="N68" s="32">
        <f t="shared" si="49"/>
        <v>0.125</v>
      </c>
      <c r="O68" s="26">
        <f t="shared" si="50"/>
        <v>1.9083969465648853</v>
      </c>
      <c r="P68" s="36">
        <f t="shared" si="51"/>
        <v>5.7142857142857143E-3</v>
      </c>
      <c r="Q68" s="37">
        <f t="shared" si="52"/>
        <v>318.70229007633588</v>
      </c>
      <c r="R68" s="67">
        <f t="shared" si="53"/>
        <v>15.419161676646707</v>
      </c>
      <c r="S68" s="92">
        <f t="shared" si="46"/>
        <v>43.893129770992367</v>
      </c>
      <c r="T68" s="93">
        <f t="shared" si="54"/>
        <v>0</v>
      </c>
    </row>
    <row r="69" spans="2:20" ht="15" thickBot="1" x14ac:dyDescent="0.35">
      <c r="B69" s="11" t="s">
        <v>10</v>
      </c>
      <c r="C69" s="12">
        <v>9732</v>
      </c>
      <c r="D69" s="16">
        <v>37.6</v>
      </c>
      <c r="E69" s="12">
        <v>1541</v>
      </c>
      <c r="F69" s="12">
        <f>SUM(F59:F68)</f>
        <v>111</v>
      </c>
      <c r="G69" s="12">
        <f>SUM(G59:G68)</f>
        <v>264486</v>
      </c>
      <c r="H69" s="81">
        <f t="shared" si="47"/>
        <v>8080</v>
      </c>
      <c r="I69" s="111"/>
      <c r="J69" s="111"/>
      <c r="K69" s="77">
        <f t="shared" si="44"/>
        <v>7034.2021276595742</v>
      </c>
      <c r="L69" s="23">
        <f t="shared" si="45"/>
        <v>258.82978723404256</v>
      </c>
      <c r="M69" s="31">
        <f t="shared" si="48"/>
        <v>0.11479028697571744</v>
      </c>
      <c r="N69" s="33">
        <f t="shared" si="49"/>
        <v>6.7191283292978202E-2</v>
      </c>
      <c r="O69" s="27">
        <f>F69/D69</f>
        <v>2.9521276595744679</v>
      </c>
      <c r="P69" s="38">
        <f t="shared" si="51"/>
        <v>1.1405672009864365E-2</v>
      </c>
      <c r="Q69" s="39">
        <f t="shared" si="52"/>
        <v>214.89361702127658</v>
      </c>
      <c r="R69" s="74">
        <f t="shared" si="53"/>
        <v>32.733415841584161</v>
      </c>
      <c r="S69" s="92">
        <f t="shared" si="46"/>
        <v>30.345744680851062</v>
      </c>
      <c r="T69" s="93">
        <f t="shared" si="54"/>
        <v>0.26595744680851063</v>
      </c>
    </row>
    <row r="70" spans="2:20" ht="15" thickBot="1" x14ac:dyDescent="0.35">
      <c r="B70" s="6" t="s">
        <v>9</v>
      </c>
      <c r="C70" s="7">
        <v>210770</v>
      </c>
      <c r="D70" s="7">
        <v>327</v>
      </c>
      <c r="E70" s="7">
        <v>8805</v>
      </c>
      <c r="F70" s="7">
        <v>4700</v>
      </c>
      <c r="G70" s="7">
        <v>1149960</v>
      </c>
      <c r="H70" s="82">
        <f t="shared" si="47"/>
        <v>197265</v>
      </c>
      <c r="I70" s="112"/>
      <c r="J70" s="112"/>
      <c r="K70" s="78">
        <f t="shared" si="44"/>
        <v>3516.6972477064219</v>
      </c>
      <c r="L70" s="24">
        <f t="shared" si="45"/>
        <v>644.55657492354737</v>
      </c>
      <c r="M70" s="31">
        <f t="shared" si="48"/>
        <v>0.13005046888515895</v>
      </c>
      <c r="N70" s="33">
        <f t="shared" si="49"/>
        <v>0.34801925212884116</v>
      </c>
      <c r="O70" s="28">
        <f>F70/D70</f>
        <v>14.37308868501529</v>
      </c>
      <c r="P70" s="40">
        <f t="shared" si="51"/>
        <v>2.2299188689092374E-2</v>
      </c>
      <c r="Q70" s="41">
        <f t="shared" si="52"/>
        <v>603.25688073394497</v>
      </c>
      <c r="R70" s="72">
        <f t="shared" si="53"/>
        <v>5.829518667781918</v>
      </c>
      <c r="S70" s="92">
        <f t="shared" si="46"/>
        <v>79.510703363914374</v>
      </c>
      <c r="T70" s="93">
        <f t="shared" si="54"/>
        <v>2.9174311926605503</v>
      </c>
    </row>
    <row r="71" spans="2:20" ht="15" thickBot="1" x14ac:dyDescent="0.35"/>
    <row r="72" spans="2:20" ht="28.8" x14ac:dyDescent="0.3">
      <c r="B72" s="17">
        <v>37347</v>
      </c>
      <c r="C72" s="18" t="s">
        <v>8</v>
      </c>
      <c r="D72" s="19" t="s">
        <v>17</v>
      </c>
      <c r="E72" s="19" t="s">
        <v>15</v>
      </c>
      <c r="F72" s="19" t="s">
        <v>16</v>
      </c>
      <c r="G72" s="19" t="s">
        <v>14</v>
      </c>
      <c r="H72" s="19" t="s">
        <v>38</v>
      </c>
      <c r="I72" s="19"/>
      <c r="J72" s="19"/>
      <c r="K72" s="19" t="s">
        <v>21</v>
      </c>
      <c r="L72" s="19" t="s">
        <v>20</v>
      </c>
      <c r="M72" s="19" t="s">
        <v>40</v>
      </c>
      <c r="N72" s="19" t="s">
        <v>32</v>
      </c>
      <c r="O72" s="20" t="s">
        <v>22</v>
      </c>
      <c r="P72" s="20" t="s">
        <v>34</v>
      </c>
      <c r="Q72" s="20" t="s">
        <v>35</v>
      </c>
      <c r="R72" s="63" t="s">
        <v>39</v>
      </c>
      <c r="S72" s="91" t="s">
        <v>43</v>
      </c>
      <c r="T72" s="91" t="s">
        <v>44</v>
      </c>
    </row>
    <row r="73" spans="2:20" x14ac:dyDescent="0.3">
      <c r="B73" s="3" t="s">
        <v>0</v>
      </c>
      <c r="C73" s="1">
        <v>2793</v>
      </c>
      <c r="D73" s="14">
        <v>14.45</v>
      </c>
      <c r="E73" s="1">
        <v>831</v>
      </c>
      <c r="F73" s="1">
        <v>53</v>
      </c>
      <c r="G73" s="1">
        <v>62733</v>
      </c>
      <c r="H73" s="1">
        <f>C73-E73-F73</f>
        <v>1909</v>
      </c>
      <c r="I73" s="1"/>
      <c r="J73" s="1"/>
      <c r="K73" s="21">
        <f t="shared" ref="K73:K84" si="55">G73/D73</f>
        <v>4341.3840830449826</v>
      </c>
      <c r="L73" s="21">
        <f t="shared" ref="L73:L84" si="56">C73/D73</f>
        <v>193.28719723183391</v>
      </c>
      <c r="M73" s="31">
        <f>(H73-H59)/H59</f>
        <v>0.14585834333733494</v>
      </c>
      <c r="N73" s="31">
        <f>F73/(E73+F73)</f>
        <v>5.9954751131221722E-2</v>
      </c>
      <c r="O73" s="25">
        <f>F73/D73</f>
        <v>3.6678200692041525</v>
      </c>
      <c r="P73" s="34">
        <f>F73/C73</f>
        <v>1.8976011457214465E-2</v>
      </c>
      <c r="Q73" s="35">
        <f>(C73-E73-F73)/D73</f>
        <v>132.11072664359861</v>
      </c>
      <c r="R73" s="66">
        <f>G73/H73</f>
        <v>32.861707700366686</v>
      </c>
      <c r="S73" s="92">
        <f t="shared" ref="S73:S84" si="57">(C73-C59)/D73</f>
        <v>27.750865051903116</v>
      </c>
      <c r="T73" s="93">
        <f>(F73-F59)/D73</f>
        <v>1.1072664359861593</v>
      </c>
    </row>
    <row r="74" spans="2:20" x14ac:dyDescent="0.3">
      <c r="B74" s="5" t="s">
        <v>1</v>
      </c>
      <c r="C74" s="1">
        <v>5518</v>
      </c>
      <c r="D74" s="14">
        <v>8.43</v>
      </c>
      <c r="E74" s="1">
        <v>29</v>
      </c>
      <c r="F74" s="1">
        <v>36</v>
      </c>
      <c r="G74" s="1">
        <v>79413</v>
      </c>
      <c r="H74" s="1">
        <f t="shared" ref="H74:H84" si="58">C74-E74-F74</f>
        <v>5453</v>
      </c>
      <c r="I74" s="1"/>
      <c r="J74" s="1"/>
      <c r="K74" s="21">
        <f t="shared" si="55"/>
        <v>9420.2846975088978</v>
      </c>
      <c r="L74" s="21">
        <f t="shared" si="56"/>
        <v>654.56702253855281</v>
      </c>
      <c r="M74" s="31">
        <f t="shared" ref="M74:M84" si="59">(H74-H60)/H60</f>
        <v>0.19872499450428666</v>
      </c>
      <c r="N74" s="31">
        <f t="shared" ref="N74:N84" si="60">F74/(E74+F74)</f>
        <v>0.55384615384615388</v>
      </c>
      <c r="O74" s="25">
        <f t="shared" ref="O74:O82" si="61">F74/D74</f>
        <v>4.2704626334519578</v>
      </c>
      <c r="P74" s="34">
        <f t="shared" ref="P74:P84" si="62">F74/C74</f>
        <v>6.5241029358463209E-3</v>
      </c>
      <c r="Q74" s="35">
        <f t="shared" ref="Q74:Q84" si="63">(C74-E74-F74)/D74</f>
        <v>646.85646500593123</v>
      </c>
      <c r="R74" s="66">
        <f t="shared" ref="R74:R84" si="64">G74/H74</f>
        <v>14.563176233266091</v>
      </c>
      <c r="S74" s="92">
        <f t="shared" si="57"/>
        <v>107.59193357058126</v>
      </c>
      <c r="T74" s="93">
        <f t="shared" ref="T74:T84" si="65">(F74-F60)/D74</f>
        <v>0.35587188612099646</v>
      </c>
    </row>
    <row r="75" spans="2:20" x14ac:dyDescent="0.3">
      <c r="B75" s="5" t="s">
        <v>2</v>
      </c>
      <c r="C75" s="1">
        <v>1121</v>
      </c>
      <c r="D75" s="14">
        <v>5.0199999999999996</v>
      </c>
      <c r="E75" s="1">
        <v>641</v>
      </c>
      <c r="F75" s="1">
        <v>31</v>
      </c>
      <c r="G75" s="1">
        <v>44639</v>
      </c>
      <c r="H75" s="1">
        <f t="shared" si="58"/>
        <v>449</v>
      </c>
      <c r="I75" s="1"/>
      <c r="J75" s="1"/>
      <c r="K75" s="21">
        <f t="shared" si="55"/>
        <v>8892.2310756972111</v>
      </c>
      <c r="L75" s="21">
        <f t="shared" si="56"/>
        <v>223.30677290836655</v>
      </c>
      <c r="M75" s="31">
        <f t="shared" si="59"/>
        <v>3.2183908045977011E-2</v>
      </c>
      <c r="N75" s="31">
        <f t="shared" si="60"/>
        <v>4.6130952380952384E-2</v>
      </c>
      <c r="O75" s="25">
        <f t="shared" si="61"/>
        <v>6.1752988047808772</v>
      </c>
      <c r="P75" s="34">
        <f t="shared" si="62"/>
        <v>2.7653880463871544E-2</v>
      </c>
      <c r="Q75" s="35">
        <f t="shared" si="63"/>
        <v>89.442231075697222</v>
      </c>
      <c r="R75" s="66">
        <f t="shared" si="64"/>
        <v>99.418708240534528</v>
      </c>
      <c r="S75" s="92">
        <f t="shared" si="57"/>
        <v>10.956175298804782</v>
      </c>
      <c r="T75" s="93">
        <f t="shared" si="65"/>
        <v>1.1952191235059761</v>
      </c>
    </row>
    <row r="76" spans="2:20" x14ac:dyDescent="0.3">
      <c r="B76" s="5" t="s">
        <v>3</v>
      </c>
      <c r="C76" s="1">
        <v>968</v>
      </c>
      <c r="D76" s="14">
        <v>4.34</v>
      </c>
      <c r="E76" s="1">
        <v>174</v>
      </c>
      <c r="F76" s="1">
        <v>13</v>
      </c>
      <c r="G76" s="1">
        <v>57096</v>
      </c>
      <c r="H76" s="1">
        <f t="shared" si="58"/>
        <v>781</v>
      </c>
      <c r="I76" s="1"/>
      <c r="J76" s="1"/>
      <c r="K76" s="21">
        <f t="shared" si="55"/>
        <v>13155.760368663596</v>
      </c>
      <c r="L76" s="21">
        <f t="shared" si="56"/>
        <v>223.04147465437788</v>
      </c>
      <c r="M76" s="31">
        <f t="shared" si="59"/>
        <v>8.7743732590529241E-2</v>
      </c>
      <c r="N76" s="31">
        <f t="shared" si="60"/>
        <v>6.9518716577540107E-2</v>
      </c>
      <c r="O76" s="25">
        <f t="shared" si="61"/>
        <v>2.9953917050691246</v>
      </c>
      <c r="P76" s="34">
        <f t="shared" si="62"/>
        <v>1.3429752066115703E-2</v>
      </c>
      <c r="Q76" s="35">
        <f t="shared" si="63"/>
        <v>179.95391705069125</v>
      </c>
      <c r="R76" s="66">
        <f t="shared" si="64"/>
        <v>73.106274007682458</v>
      </c>
      <c r="S76" s="92">
        <f t="shared" si="57"/>
        <v>22.350230414746544</v>
      </c>
      <c r="T76" s="93">
        <f t="shared" si="65"/>
        <v>0.46082949308755761</v>
      </c>
    </row>
    <row r="77" spans="2:20" x14ac:dyDescent="0.3">
      <c r="B77" s="5" t="s">
        <v>4</v>
      </c>
      <c r="C77" s="1">
        <v>167</v>
      </c>
      <c r="D77" s="14">
        <v>1.36</v>
      </c>
      <c r="E77" s="1">
        <v>11</v>
      </c>
      <c r="F77" s="1">
        <v>1</v>
      </c>
      <c r="G77" s="1">
        <v>11327</v>
      </c>
      <c r="H77" s="1">
        <f t="shared" si="58"/>
        <v>155</v>
      </c>
      <c r="I77" s="1"/>
      <c r="J77" s="1"/>
      <c r="K77" s="21">
        <f t="shared" si="55"/>
        <v>8328.6764705882342</v>
      </c>
      <c r="L77" s="21">
        <f t="shared" si="56"/>
        <v>122.79411764705881</v>
      </c>
      <c r="M77" s="31">
        <f t="shared" si="59"/>
        <v>0.27049180327868855</v>
      </c>
      <c r="N77" s="31">
        <f t="shared" si="60"/>
        <v>8.3333333333333329E-2</v>
      </c>
      <c r="O77" s="25">
        <f t="shared" si="61"/>
        <v>0.73529411764705876</v>
      </c>
      <c r="P77" s="34">
        <f t="shared" si="62"/>
        <v>5.9880239520958087E-3</v>
      </c>
      <c r="Q77" s="35">
        <f t="shared" si="63"/>
        <v>113.97058823529412</v>
      </c>
      <c r="R77" s="66">
        <f t="shared" si="64"/>
        <v>73.07741935483871</v>
      </c>
      <c r="S77" s="92">
        <f t="shared" si="57"/>
        <v>29.411764705882351</v>
      </c>
      <c r="T77" s="93">
        <f t="shared" si="65"/>
        <v>0</v>
      </c>
    </row>
    <row r="78" spans="2:20" x14ac:dyDescent="0.3">
      <c r="B78" s="5" t="s">
        <v>5</v>
      </c>
      <c r="C78" s="1">
        <v>206</v>
      </c>
      <c r="D78" s="14">
        <v>1.17</v>
      </c>
      <c r="E78" s="1">
        <v>36</v>
      </c>
      <c r="F78" s="1">
        <v>3</v>
      </c>
      <c r="G78" s="1">
        <v>11395</v>
      </c>
      <c r="H78" s="1">
        <f t="shared" si="58"/>
        <v>167</v>
      </c>
      <c r="I78" s="1"/>
      <c r="J78" s="1"/>
      <c r="K78" s="21">
        <f t="shared" si="55"/>
        <v>9739.3162393162402</v>
      </c>
      <c r="L78" s="21">
        <f t="shared" si="56"/>
        <v>176.06837606837607</v>
      </c>
      <c r="M78" s="31">
        <f t="shared" si="59"/>
        <v>4.3749999999999997E-2</v>
      </c>
      <c r="N78" s="31">
        <f t="shared" si="60"/>
        <v>7.6923076923076927E-2</v>
      </c>
      <c r="O78" s="25">
        <f t="shared" si="61"/>
        <v>2.5641025641025643</v>
      </c>
      <c r="P78" s="34">
        <f t="shared" si="62"/>
        <v>1.4563106796116505E-2</v>
      </c>
      <c r="Q78" s="35">
        <f t="shared" si="63"/>
        <v>142.73504273504275</v>
      </c>
      <c r="R78" s="66">
        <f t="shared" si="64"/>
        <v>68.23353293413173</v>
      </c>
      <c r="S78" s="92">
        <f t="shared" si="57"/>
        <v>11.111111111111112</v>
      </c>
      <c r="T78" s="93">
        <f t="shared" si="65"/>
        <v>0</v>
      </c>
    </row>
    <row r="79" spans="2:20" x14ac:dyDescent="0.3">
      <c r="B79" s="5" t="s">
        <v>6</v>
      </c>
      <c r="C79" s="1">
        <v>193</v>
      </c>
      <c r="D79" s="14">
        <v>0.96499999999999997</v>
      </c>
      <c r="E79" s="1">
        <v>16</v>
      </c>
      <c r="F79" s="1">
        <v>0</v>
      </c>
      <c r="G79" s="1">
        <f>7446+C79</f>
        <v>7639</v>
      </c>
      <c r="H79" s="1">
        <f t="shared" si="58"/>
        <v>177</v>
      </c>
      <c r="I79" s="1"/>
      <c r="J79" s="1"/>
      <c r="K79" s="21">
        <f t="shared" si="55"/>
        <v>7916.0621761658031</v>
      </c>
      <c r="L79" s="21">
        <f t="shared" si="56"/>
        <v>200</v>
      </c>
      <c r="M79" s="31">
        <f t="shared" si="59"/>
        <v>8.5889570552147243E-2</v>
      </c>
      <c r="N79" s="31">
        <f t="shared" si="60"/>
        <v>0</v>
      </c>
      <c r="O79" s="25">
        <f t="shared" si="61"/>
        <v>0</v>
      </c>
      <c r="P79" s="34">
        <f t="shared" si="62"/>
        <v>0</v>
      </c>
      <c r="Q79" s="35">
        <f t="shared" si="63"/>
        <v>183.41968911917098</v>
      </c>
      <c r="R79" s="66">
        <f t="shared" si="64"/>
        <v>43.158192090395481</v>
      </c>
      <c r="S79" s="92">
        <f t="shared" si="57"/>
        <v>20.725388601036268</v>
      </c>
      <c r="T79" s="93">
        <f t="shared" si="65"/>
        <v>0</v>
      </c>
    </row>
    <row r="80" spans="2:20" x14ac:dyDescent="0.3">
      <c r="B80" s="5" t="s">
        <v>7</v>
      </c>
      <c r="C80" s="1">
        <v>91</v>
      </c>
      <c r="D80" s="14">
        <v>0.77200000000000002</v>
      </c>
      <c r="E80" s="1">
        <v>22</v>
      </c>
      <c r="F80" s="1">
        <v>0</v>
      </c>
      <c r="G80" s="1">
        <v>4520</v>
      </c>
      <c r="H80" s="1">
        <f t="shared" si="58"/>
        <v>69</v>
      </c>
      <c r="I80" s="1"/>
      <c r="J80" s="1"/>
      <c r="K80" s="21">
        <f t="shared" si="55"/>
        <v>5854.9222797927459</v>
      </c>
      <c r="L80" s="21">
        <f t="shared" si="56"/>
        <v>117.87564766839378</v>
      </c>
      <c r="M80" s="31">
        <f t="shared" si="59"/>
        <v>2.9850746268656716E-2</v>
      </c>
      <c r="N80" s="31">
        <f t="shared" si="60"/>
        <v>0</v>
      </c>
      <c r="O80" s="25">
        <f t="shared" si="61"/>
        <v>0</v>
      </c>
      <c r="P80" s="34">
        <f t="shared" si="62"/>
        <v>0</v>
      </c>
      <c r="Q80" s="35">
        <f t="shared" si="63"/>
        <v>89.37823834196891</v>
      </c>
      <c r="R80" s="66">
        <f t="shared" si="64"/>
        <v>65.507246376811594</v>
      </c>
      <c r="S80" s="92">
        <f t="shared" si="57"/>
        <v>12.953367875647668</v>
      </c>
      <c r="T80" s="93">
        <f t="shared" si="65"/>
        <v>0</v>
      </c>
    </row>
    <row r="81" spans="2:20" x14ac:dyDescent="0.3">
      <c r="B81" s="5" t="s">
        <v>18</v>
      </c>
      <c r="C81" s="9">
        <v>22</v>
      </c>
      <c r="D81" s="15">
        <v>0.154</v>
      </c>
      <c r="E81" s="9">
        <v>3</v>
      </c>
      <c r="F81" s="9">
        <v>0</v>
      </c>
      <c r="G81" s="9">
        <v>958</v>
      </c>
      <c r="H81" s="1">
        <f t="shared" si="58"/>
        <v>19</v>
      </c>
      <c r="I81" s="9"/>
      <c r="J81" s="9"/>
      <c r="K81" s="22">
        <f t="shared" si="55"/>
        <v>6220.7792207792209</v>
      </c>
      <c r="L81" s="22">
        <f t="shared" si="56"/>
        <v>142.85714285714286</v>
      </c>
      <c r="M81" s="31">
        <f t="shared" si="59"/>
        <v>0.72727272727272729</v>
      </c>
      <c r="N81" s="31">
        <f t="shared" si="60"/>
        <v>0</v>
      </c>
      <c r="O81" s="26">
        <f t="shared" si="61"/>
        <v>0</v>
      </c>
      <c r="P81" s="34">
        <f t="shared" si="62"/>
        <v>0</v>
      </c>
      <c r="Q81" s="35">
        <f t="shared" si="63"/>
        <v>123.37662337662339</v>
      </c>
      <c r="R81" s="66">
        <f t="shared" si="64"/>
        <v>50.421052631578945</v>
      </c>
      <c r="S81" s="92">
        <f t="shared" si="57"/>
        <v>6.4935064935064934</v>
      </c>
      <c r="T81" s="93">
        <f t="shared" si="65"/>
        <v>0</v>
      </c>
    </row>
    <row r="82" spans="2:20" ht="15" thickBot="1" x14ac:dyDescent="0.35">
      <c r="B82" s="5" t="s">
        <v>11</v>
      </c>
      <c r="C82" s="9">
        <v>183</v>
      </c>
      <c r="D82" s="15">
        <v>0.52400000000000002</v>
      </c>
      <c r="E82" s="9">
        <v>10</v>
      </c>
      <c r="F82" s="9">
        <v>1</v>
      </c>
      <c r="G82" s="9">
        <v>2929</v>
      </c>
      <c r="H82" s="9">
        <f t="shared" si="58"/>
        <v>172</v>
      </c>
      <c r="I82" s="9"/>
      <c r="J82" s="9"/>
      <c r="K82" s="22">
        <f t="shared" si="55"/>
        <v>5589.6946564885493</v>
      </c>
      <c r="L82" s="22">
        <f t="shared" si="56"/>
        <v>349.23664122137404</v>
      </c>
      <c r="M82" s="31">
        <f t="shared" si="59"/>
        <v>2.9940119760479042E-2</v>
      </c>
      <c r="N82" s="32">
        <f t="shared" si="60"/>
        <v>9.0909090909090912E-2</v>
      </c>
      <c r="O82" s="26">
        <f t="shared" si="61"/>
        <v>1.9083969465648853</v>
      </c>
      <c r="P82" s="36">
        <f t="shared" si="62"/>
        <v>5.4644808743169399E-3</v>
      </c>
      <c r="Q82" s="37">
        <f t="shared" si="63"/>
        <v>328.24427480916029</v>
      </c>
      <c r="R82" s="67">
        <f t="shared" si="64"/>
        <v>17.029069767441861</v>
      </c>
      <c r="S82" s="92">
        <f t="shared" si="57"/>
        <v>15.267175572519083</v>
      </c>
      <c r="T82" s="93">
        <f t="shared" si="65"/>
        <v>0</v>
      </c>
    </row>
    <row r="83" spans="2:20" ht="15" thickBot="1" x14ac:dyDescent="0.35">
      <c r="B83" s="11" t="s">
        <v>10</v>
      </c>
      <c r="C83" s="12">
        <v>11283</v>
      </c>
      <c r="D83" s="16">
        <v>37.6</v>
      </c>
      <c r="E83" s="12">
        <v>1776</v>
      </c>
      <c r="F83" s="12">
        <f>SUM(F73:F82)</f>
        <v>138</v>
      </c>
      <c r="G83" s="12">
        <f>SUM(G73:G82)</f>
        <v>282649</v>
      </c>
      <c r="H83" s="81">
        <f t="shared" si="58"/>
        <v>9369</v>
      </c>
      <c r="I83" s="111"/>
      <c r="J83" s="111"/>
      <c r="K83" s="77">
        <f t="shared" si="55"/>
        <v>7517.260638297872</v>
      </c>
      <c r="L83" s="23">
        <f t="shared" si="56"/>
        <v>300.07978723404256</v>
      </c>
      <c r="M83" s="31">
        <f t="shared" si="59"/>
        <v>0.15952970297029703</v>
      </c>
      <c r="N83" s="33">
        <f t="shared" si="60"/>
        <v>7.2100313479623826E-2</v>
      </c>
      <c r="O83" s="27">
        <f>F83/D83</f>
        <v>3.6702127659574466</v>
      </c>
      <c r="P83" s="38">
        <f t="shared" si="62"/>
        <v>1.2230789683594789E-2</v>
      </c>
      <c r="Q83" s="39">
        <f t="shared" si="63"/>
        <v>249.17553191489361</v>
      </c>
      <c r="R83" s="74">
        <f t="shared" si="64"/>
        <v>30.168534528765075</v>
      </c>
      <c r="S83" s="92">
        <f t="shared" si="57"/>
        <v>41.25</v>
      </c>
      <c r="T83" s="93">
        <f t="shared" si="65"/>
        <v>0.71808510638297873</v>
      </c>
    </row>
    <row r="84" spans="2:20" ht="15" thickBot="1" x14ac:dyDescent="0.35">
      <c r="B84" s="6" t="s">
        <v>9</v>
      </c>
      <c r="C84" s="7">
        <v>239009</v>
      </c>
      <c r="D84" s="7">
        <v>327</v>
      </c>
      <c r="E84" s="7">
        <v>10365</v>
      </c>
      <c r="F84" s="7">
        <v>5784</v>
      </c>
      <c r="G84" s="7">
        <v>1267658</v>
      </c>
      <c r="H84" s="82">
        <f t="shared" si="58"/>
        <v>222860</v>
      </c>
      <c r="I84" s="112"/>
      <c r="J84" s="112"/>
      <c r="K84" s="78">
        <f t="shared" si="55"/>
        <v>3876.6299694189602</v>
      </c>
      <c r="L84" s="24">
        <f t="shared" si="56"/>
        <v>730.91437308868501</v>
      </c>
      <c r="M84" s="31">
        <f t="shared" si="59"/>
        <v>0.12974932197804984</v>
      </c>
      <c r="N84" s="33">
        <f t="shared" si="60"/>
        <v>0.35816459223481328</v>
      </c>
      <c r="O84" s="28">
        <f>F84/D84</f>
        <v>17.688073394495412</v>
      </c>
      <c r="P84" s="40">
        <f t="shared" si="62"/>
        <v>2.4199925525817019E-2</v>
      </c>
      <c r="Q84" s="41">
        <f t="shared" si="63"/>
        <v>681.52905198776762</v>
      </c>
      <c r="R84" s="72">
        <f t="shared" si="64"/>
        <v>5.6881360495378264</v>
      </c>
      <c r="S84" s="92">
        <f t="shared" si="57"/>
        <v>86.357798165137609</v>
      </c>
      <c r="T84" s="93">
        <f t="shared" si="65"/>
        <v>3.3149847094801221</v>
      </c>
    </row>
    <row r="85" spans="2:20" ht="15" thickBot="1" x14ac:dyDescent="0.35"/>
    <row r="86" spans="2:20" ht="28.8" x14ac:dyDescent="0.3">
      <c r="B86" s="17">
        <v>37712</v>
      </c>
      <c r="C86" s="18" t="s">
        <v>8</v>
      </c>
      <c r="D86" s="19" t="s">
        <v>17</v>
      </c>
      <c r="E86" s="19" t="s">
        <v>15</v>
      </c>
      <c r="F86" s="19" t="s">
        <v>16</v>
      </c>
      <c r="G86" s="19" t="s">
        <v>14</v>
      </c>
      <c r="H86" s="19" t="s">
        <v>38</v>
      </c>
      <c r="I86" s="19"/>
      <c r="J86" s="19"/>
      <c r="K86" s="19" t="s">
        <v>21</v>
      </c>
      <c r="L86" s="19" t="s">
        <v>20</v>
      </c>
      <c r="M86" s="19" t="s">
        <v>40</v>
      </c>
      <c r="N86" s="19" t="s">
        <v>32</v>
      </c>
      <c r="O86" s="19" t="s">
        <v>22</v>
      </c>
      <c r="P86" s="51" t="s">
        <v>34</v>
      </c>
      <c r="Q86" s="20" t="s">
        <v>35</v>
      </c>
      <c r="R86" s="63" t="s">
        <v>39</v>
      </c>
      <c r="S86" s="91" t="s">
        <v>43</v>
      </c>
      <c r="T86" s="91" t="s">
        <v>44</v>
      </c>
    </row>
    <row r="87" spans="2:20" x14ac:dyDescent="0.3">
      <c r="B87" s="3" t="s">
        <v>0</v>
      </c>
      <c r="C87" s="1">
        <v>3255</v>
      </c>
      <c r="D87" s="14">
        <v>14.45</v>
      </c>
      <c r="E87" s="1">
        <v>1023</v>
      </c>
      <c r="F87" s="1">
        <v>67</v>
      </c>
      <c r="G87" s="1">
        <v>66753</v>
      </c>
      <c r="H87" s="1">
        <f>C87-E87-F87</f>
        <v>2165</v>
      </c>
      <c r="I87" s="1"/>
      <c r="J87" s="1"/>
      <c r="K87" s="21">
        <f t="shared" ref="K87:K98" si="66">G87/D87</f>
        <v>4619.584775086505</v>
      </c>
      <c r="L87" s="21">
        <f t="shared" ref="L87:L98" si="67">C87/D87</f>
        <v>225.25951557093427</v>
      </c>
      <c r="M87" s="31">
        <f>(H87-H73)/H73</f>
        <v>0.13410162388685176</v>
      </c>
      <c r="N87" s="31">
        <f>F87/(E87+F87)</f>
        <v>6.1467889908256884E-2</v>
      </c>
      <c r="O87" s="43">
        <f>F87/D87</f>
        <v>4.6366782006920415</v>
      </c>
      <c r="P87" s="49">
        <f>F87/C87</f>
        <v>2.0583717357910907E-2</v>
      </c>
      <c r="Q87" s="47">
        <f>(C87-E87-F87)/D87</f>
        <v>149.82698961937717</v>
      </c>
      <c r="R87" s="66">
        <f>G87/H87</f>
        <v>30.832794457274826</v>
      </c>
      <c r="S87" s="92">
        <f t="shared" ref="S87:S98" si="68">(C87-C73)/D87</f>
        <v>31.972318339100347</v>
      </c>
      <c r="T87" s="93">
        <f>(F87-F73)/D87</f>
        <v>0.96885813148788935</v>
      </c>
    </row>
    <row r="88" spans="2:20" x14ac:dyDescent="0.3">
      <c r="B88" s="5" t="s">
        <v>1</v>
      </c>
      <c r="C88" s="1">
        <v>6101</v>
      </c>
      <c r="D88" s="14">
        <v>8.43</v>
      </c>
      <c r="E88" s="1">
        <v>306</v>
      </c>
      <c r="F88" s="1">
        <v>61</v>
      </c>
      <c r="G88" s="1">
        <v>87802</v>
      </c>
      <c r="H88" s="1">
        <f t="shared" ref="H88:H98" si="69">C88-E88-F88</f>
        <v>5734</v>
      </c>
      <c r="I88" s="1"/>
      <c r="J88" s="1"/>
      <c r="K88" s="21">
        <f t="shared" si="66"/>
        <v>10415.421115065243</v>
      </c>
      <c r="L88" s="21">
        <f t="shared" si="67"/>
        <v>723.72479240806649</v>
      </c>
      <c r="M88" s="31">
        <f t="shared" ref="M88:M98" si="70">(H88-H74)/H74</f>
        <v>5.1531267192371173E-2</v>
      </c>
      <c r="N88" s="31">
        <f t="shared" ref="N88:N98" si="71">F88/(E88+F88)</f>
        <v>0.16621253405994552</v>
      </c>
      <c r="O88" s="43">
        <f t="shared" ref="O88:O96" si="72">F88/D88</f>
        <v>7.2360616844602612</v>
      </c>
      <c r="P88" s="49">
        <f t="shared" ref="P88:P98" si="73">F88/C88</f>
        <v>9.9983609244386172E-3</v>
      </c>
      <c r="Q88" s="47">
        <f t="shared" ref="Q88:Q98" si="74">(C88-E88-F88)/D88</f>
        <v>680.1897983392646</v>
      </c>
      <c r="R88" s="66">
        <f t="shared" ref="R88:R98" si="75">G88/H88</f>
        <v>15.312521799790723</v>
      </c>
      <c r="S88" s="92">
        <f t="shared" si="68"/>
        <v>69.157769869513643</v>
      </c>
      <c r="T88" s="93">
        <f t="shared" ref="T88:T98" si="76">(F88-F74)/D88</f>
        <v>2.9655990510083039</v>
      </c>
    </row>
    <row r="89" spans="2:20" x14ac:dyDescent="0.3">
      <c r="B89" s="5" t="s">
        <v>2</v>
      </c>
      <c r="C89" s="1">
        <v>1174</v>
      </c>
      <c r="D89" s="14">
        <v>5.0199999999999996</v>
      </c>
      <c r="E89" s="1">
        <v>641</v>
      </c>
      <c r="F89" s="1">
        <v>35</v>
      </c>
      <c r="G89" s="1">
        <v>47352</v>
      </c>
      <c r="H89" s="1">
        <f t="shared" si="69"/>
        <v>498</v>
      </c>
      <c r="I89" s="1"/>
      <c r="J89" s="1"/>
      <c r="K89" s="21">
        <f t="shared" si="66"/>
        <v>9432.6693227091637</v>
      </c>
      <c r="L89" s="21">
        <f t="shared" si="67"/>
        <v>233.86454183266935</v>
      </c>
      <c r="M89" s="31">
        <f t="shared" si="70"/>
        <v>0.10913140311804009</v>
      </c>
      <c r="N89" s="31">
        <f t="shared" si="71"/>
        <v>5.1775147928994084E-2</v>
      </c>
      <c r="O89" s="43">
        <f t="shared" si="72"/>
        <v>6.9721115537848615</v>
      </c>
      <c r="P89" s="49">
        <f t="shared" si="73"/>
        <v>2.9812606473594547E-2</v>
      </c>
      <c r="Q89" s="47">
        <f t="shared" si="74"/>
        <v>99.203187250996024</v>
      </c>
      <c r="R89" s="66">
        <f t="shared" si="75"/>
        <v>95.084337349397586</v>
      </c>
      <c r="S89" s="92">
        <f t="shared" si="68"/>
        <v>10.55776892430279</v>
      </c>
      <c r="T89" s="93">
        <f t="shared" si="76"/>
        <v>0.79681274900398413</v>
      </c>
    </row>
    <row r="90" spans="2:20" x14ac:dyDescent="0.3">
      <c r="B90" s="5" t="s">
        <v>3</v>
      </c>
      <c r="C90" s="1">
        <v>986</v>
      </c>
      <c r="D90" s="14">
        <v>4.34</v>
      </c>
      <c r="E90" s="1">
        <v>124</v>
      </c>
      <c r="F90" s="1">
        <v>13</v>
      </c>
      <c r="G90" s="1">
        <v>57096</v>
      </c>
      <c r="H90" s="1">
        <f t="shared" si="69"/>
        <v>849</v>
      </c>
      <c r="I90" s="1"/>
      <c r="J90" s="1"/>
      <c r="K90" s="21">
        <f t="shared" si="66"/>
        <v>13155.760368663596</v>
      </c>
      <c r="L90" s="21">
        <f t="shared" si="67"/>
        <v>227.18894009216589</v>
      </c>
      <c r="M90" s="31">
        <f t="shared" si="70"/>
        <v>8.706786171574904E-2</v>
      </c>
      <c r="N90" s="31">
        <f t="shared" si="71"/>
        <v>9.4890510948905105E-2</v>
      </c>
      <c r="O90" s="43">
        <f t="shared" si="72"/>
        <v>2.9953917050691246</v>
      </c>
      <c r="P90" s="49">
        <f t="shared" si="73"/>
        <v>1.3184584178498986E-2</v>
      </c>
      <c r="Q90" s="47">
        <f t="shared" si="74"/>
        <v>195.62211981566821</v>
      </c>
      <c r="R90" s="66">
        <f t="shared" si="75"/>
        <v>67.250883392226143</v>
      </c>
      <c r="S90" s="92">
        <f t="shared" si="68"/>
        <v>4.1474654377880187</v>
      </c>
      <c r="T90" s="93">
        <f t="shared" si="76"/>
        <v>0</v>
      </c>
    </row>
    <row r="91" spans="2:20" x14ac:dyDescent="0.3">
      <c r="B91" s="5" t="s">
        <v>4</v>
      </c>
      <c r="C91" s="1">
        <v>182</v>
      </c>
      <c r="D91" s="14">
        <v>1.36</v>
      </c>
      <c r="E91" s="1">
        <v>8</v>
      </c>
      <c r="F91" s="1">
        <v>2</v>
      </c>
      <c r="G91" s="1">
        <v>11952</v>
      </c>
      <c r="H91" s="1">
        <f t="shared" si="69"/>
        <v>172</v>
      </c>
      <c r="I91" s="1"/>
      <c r="J91" s="1"/>
      <c r="K91" s="21">
        <f t="shared" si="66"/>
        <v>8788.2352941176468</v>
      </c>
      <c r="L91" s="21">
        <f t="shared" si="67"/>
        <v>133.8235294117647</v>
      </c>
      <c r="M91" s="31">
        <f t="shared" si="70"/>
        <v>0.10967741935483871</v>
      </c>
      <c r="N91" s="31">
        <f t="shared" si="71"/>
        <v>0.2</v>
      </c>
      <c r="O91" s="43">
        <f t="shared" si="72"/>
        <v>1.4705882352941175</v>
      </c>
      <c r="P91" s="49">
        <f t="shared" si="73"/>
        <v>1.098901098901099E-2</v>
      </c>
      <c r="Q91" s="47">
        <f t="shared" si="74"/>
        <v>126.4705882352941</v>
      </c>
      <c r="R91" s="66">
        <f t="shared" si="75"/>
        <v>69.488372093023258</v>
      </c>
      <c r="S91" s="92">
        <f t="shared" si="68"/>
        <v>11.029411764705882</v>
      </c>
      <c r="T91" s="93">
        <f t="shared" si="76"/>
        <v>0.73529411764705876</v>
      </c>
    </row>
    <row r="92" spans="2:20" x14ac:dyDescent="0.3">
      <c r="B92" s="5" t="s">
        <v>5</v>
      </c>
      <c r="C92" s="1">
        <v>220</v>
      </c>
      <c r="D92" s="14">
        <v>1.17</v>
      </c>
      <c r="E92" s="1">
        <v>48</v>
      </c>
      <c r="F92" s="1">
        <v>3</v>
      </c>
      <c r="G92" s="1">
        <v>12112</v>
      </c>
      <c r="H92" s="1">
        <f t="shared" si="69"/>
        <v>169</v>
      </c>
      <c r="I92" s="1"/>
      <c r="J92" s="1"/>
      <c r="K92" s="21">
        <f t="shared" si="66"/>
        <v>10352.136752136752</v>
      </c>
      <c r="L92" s="21">
        <f t="shared" si="67"/>
        <v>188.03418803418805</v>
      </c>
      <c r="M92" s="31">
        <f t="shared" si="70"/>
        <v>1.1976047904191617E-2</v>
      </c>
      <c r="N92" s="31">
        <f t="shared" si="71"/>
        <v>5.8823529411764705E-2</v>
      </c>
      <c r="O92" s="43">
        <f t="shared" si="72"/>
        <v>2.5641025641025643</v>
      </c>
      <c r="P92" s="49">
        <f t="shared" si="73"/>
        <v>1.3636363636363636E-2</v>
      </c>
      <c r="Q92" s="47">
        <f t="shared" si="74"/>
        <v>144.44444444444446</v>
      </c>
      <c r="R92" s="66">
        <f t="shared" si="75"/>
        <v>71.668639053254438</v>
      </c>
      <c r="S92" s="92">
        <f t="shared" si="68"/>
        <v>11.965811965811966</v>
      </c>
      <c r="T92" s="93">
        <f t="shared" si="76"/>
        <v>0</v>
      </c>
    </row>
    <row r="93" spans="2:20" x14ac:dyDescent="0.3">
      <c r="B93" s="5" t="s">
        <v>6</v>
      </c>
      <c r="C93" s="1">
        <v>207</v>
      </c>
      <c r="D93" s="14">
        <v>0.96499999999999997</v>
      </c>
      <c r="E93" s="1">
        <v>21</v>
      </c>
      <c r="F93" s="1">
        <v>0</v>
      </c>
      <c r="G93" s="1">
        <f>8234+C93</f>
        <v>8441</v>
      </c>
      <c r="H93" s="1">
        <f t="shared" si="69"/>
        <v>186</v>
      </c>
      <c r="I93" s="1"/>
      <c r="J93" s="1"/>
      <c r="K93" s="21">
        <f t="shared" si="66"/>
        <v>8747.1502590673572</v>
      </c>
      <c r="L93" s="21">
        <f t="shared" si="67"/>
        <v>214.50777202072538</v>
      </c>
      <c r="M93" s="31">
        <f t="shared" si="70"/>
        <v>5.0847457627118647E-2</v>
      </c>
      <c r="N93" s="31">
        <f t="shared" si="71"/>
        <v>0</v>
      </c>
      <c r="O93" s="43">
        <f t="shared" si="72"/>
        <v>0</v>
      </c>
      <c r="P93" s="49">
        <f t="shared" si="73"/>
        <v>0</v>
      </c>
      <c r="Q93" s="47">
        <f t="shared" si="74"/>
        <v>192.74611398963731</v>
      </c>
      <c r="R93" s="66">
        <f t="shared" si="75"/>
        <v>45.381720430107528</v>
      </c>
      <c r="S93" s="92">
        <f t="shared" si="68"/>
        <v>14.507772020725389</v>
      </c>
      <c r="T93" s="93">
        <f t="shared" si="76"/>
        <v>0</v>
      </c>
    </row>
    <row r="94" spans="2:20" x14ac:dyDescent="0.3">
      <c r="B94" s="5" t="s">
        <v>7</v>
      </c>
      <c r="C94" s="1">
        <v>95</v>
      </c>
      <c r="D94" s="14">
        <v>0.77200000000000002</v>
      </c>
      <c r="E94" s="1">
        <v>25</v>
      </c>
      <c r="F94" s="1">
        <v>0</v>
      </c>
      <c r="G94" s="1">
        <v>4906</v>
      </c>
      <c r="H94" s="1">
        <f t="shared" si="69"/>
        <v>70</v>
      </c>
      <c r="I94" s="1"/>
      <c r="J94" s="1"/>
      <c r="K94" s="21">
        <f t="shared" si="66"/>
        <v>6354.9222797927459</v>
      </c>
      <c r="L94" s="21">
        <f t="shared" si="67"/>
        <v>123.05699481865285</v>
      </c>
      <c r="M94" s="31">
        <f t="shared" si="70"/>
        <v>1.4492753623188406E-2</v>
      </c>
      <c r="N94" s="31">
        <f t="shared" si="71"/>
        <v>0</v>
      </c>
      <c r="O94" s="43">
        <f t="shared" si="72"/>
        <v>0</v>
      </c>
      <c r="P94" s="49">
        <f t="shared" si="73"/>
        <v>0</v>
      </c>
      <c r="Q94" s="47">
        <f t="shared" si="74"/>
        <v>90.673575129533674</v>
      </c>
      <c r="R94" s="66">
        <f t="shared" si="75"/>
        <v>70.085714285714289</v>
      </c>
      <c r="S94" s="92">
        <f t="shared" si="68"/>
        <v>5.1813471502590671</v>
      </c>
      <c r="T94" s="93">
        <f t="shared" si="76"/>
        <v>0</v>
      </c>
    </row>
    <row r="95" spans="2:20" x14ac:dyDescent="0.3">
      <c r="B95" s="5" t="s">
        <v>18</v>
      </c>
      <c r="C95" s="9">
        <v>22</v>
      </c>
      <c r="D95" s="15">
        <v>0.154</v>
      </c>
      <c r="E95" s="9">
        <v>4</v>
      </c>
      <c r="F95" s="9">
        <v>0</v>
      </c>
      <c r="G95" s="9">
        <v>1099</v>
      </c>
      <c r="H95" s="1">
        <f t="shared" si="69"/>
        <v>18</v>
      </c>
      <c r="I95" s="9"/>
      <c r="J95" s="9"/>
      <c r="K95" s="22">
        <f t="shared" si="66"/>
        <v>7136.363636363636</v>
      </c>
      <c r="L95" s="22">
        <f t="shared" si="67"/>
        <v>142.85714285714286</v>
      </c>
      <c r="M95" s="31">
        <f t="shared" si="70"/>
        <v>-5.2631578947368418E-2</v>
      </c>
      <c r="N95" s="31">
        <f t="shared" si="71"/>
        <v>0</v>
      </c>
      <c r="O95" s="44">
        <f t="shared" si="72"/>
        <v>0</v>
      </c>
      <c r="P95" s="49">
        <f t="shared" si="73"/>
        <v>0</v>
      </c>
      <c r="Q95" s="47">
        <f t="shared" si="74"/>
        <v>116.88311688311688</v>
      </c>
      <c r="R95" s="66">
        <f t="shared" si="75"/>
        <v>61.055555555555557</v>
      </c>
      <c r="S95" s="92">
        <f t="shared" si="68"/>
        <v>0</v>
      </c>
      <c r="T95" s="93">
        <f t="shared" si="76"/>
        <v>0</v>
      </c>
    </row>
    <row r="96" spans="2:20" ht="15" thickBot="1" x14ac:dyDescent="0.35">
      <c r="B96" s="5" t="s">
        <v>11</v>
      </c>
      <c r="C96" s="9">
        <v>195</v>
      </c>
      <c r="D96" s="15">
        <v>0.52400000000000002</v>
      </c>
      <c r="E96" s="9">
        <v>8</v>
      </c>
      <c r="F96" s="9">
        <v>1</v>
      </c>
      <c r="G96" s="9">
        <v>3201</v>
      </c>
      <c r="H96" s="9">
        <f t="shared" si="69"/>
        <v>186</v>
      </c>
      <c r="I96" s="9"/>
      <c r="J96" s="9"/>
      <c r="K96" s="22">
        <f t="shared" si="66"/>
        <v>6108.7786259541981</v>
      </c>
      <c r="L96" s="22">
        <f t="shared" si="67"/>
        <v>372.13740458015263</v>
      </c>
      <c r="M96" s="31">
        <f t="shared" si="70"/>
        <v>8.1395348837209308E-2</v>
      </c>
      <c r="N96" s="32">
        <f t="shared" si="71"/>
        <v>0.1111111111111111</v>
      </c>
      <c r="O96" s="44">
        <f t="shared" si="72"/>
        <v>1.9083969465648853</v>
      </c>
      <c r="P96" s="59">
        <f t="shared" si="73"/>
        <v>5.1282051282051282E-3</v>
      </c>
      <c r="Q96" s="48">
        <f t="shared" si="74"/>
        <v>354.96183206106866</v>
      </c>
      <c r="R96" s="67">
        <f t="shared" si="75"/>
        <v>17.20967741935484</v>
      </c>
      <c r="S96" s="92">
        <f t="shared" si="68"/>
        <v>22.900763358778626</v>
      </c>
      <c r="T96" s="93">
        <f t="shared" si="76"/>
        <v>0</v>
      </c>
    </row>
    <row r="97" spans="2:24" ht="15" thickBot="1" x14ac:dyDescent="0.35">
      <c r="B97" s="11" t="s">
        <v>10</v>
      </c>
      <c r="C97" s="12">
        <v>12442</v>
      </c>
      <c r="D97" s="16">
        <v>37.6</v>
      </c>
      <c r="E97" s="12">
        <v>2268</v>
      </c>
      <c r="F97" s="12">
        <v>182</v>
      </c>
      <c r="G97" s="75">
        <f>SUM(G87:G96)</f>
        <v>300714</v>
      </c>
      <c r="H97" s="80">
        <f t="shared" si="69"/>
        <v>9992</v>
      </c>
      <c r="I97" s="111"/>
      <c r="J97" s="111"/>
      <c r="K97" s="77">
        <f t="shared" si="66"/>
        <v>7997.7127659574462</v>
      </c>
      <c r="L97" s="23">
        <f t="shared" si="67"/>
        <v>330.90425531914894</v>
      </c>
      <c r="M97" s="31">
        <f t="shared" si="70"/>
        <v>6.6495890703383492E-2</v>
      </c>
      <c r="N97" s="33">
        <f t="shared" si="71"/>
        <v>7.4285714285714288E-2</v>
      </c>
      <c r="O97" s="27">
        <f>F97/D97</f>
        <v>4.8404255319148932</v>
      </c>
      <c r="P97" s="57">
        <f t="shared" si="73"/>
        <v>1.4627873332261693E-2</v>
      </c>
      <c r="Q97" s="55">
        <f t="shared" si="74"/>
        <v>265.74468085106383</v>
      </c>
      <c r="R97" s="74">
        <f t="shared" si="75"/>
        <v>30.095476381104884</v>
      </c>
      <c r="S97" s="92">
        <f t="shared" si="68"/>
        <v>30.824468085106382</v>
      </c>
      <c r="T97" s="93">
        <f t="shared" si="76"/>
        <v>1.1702127659574468</v>
      </c>
    </row>
    <row r="98" spans="2:24" ht="15" thickBot="1" x14ac:dyDescent="0.35">
      <c r="B98" s="6" t="s">
        <v>9</v>
      </c>
      <c r="C98" s="7">
        <v>275542</v>
      </c>
      <c r="D98" s="7">
        <v>327</v>
      </c>
      <c r="E98" s="7">
        <v>12097</v>
      </c>
      <c r="F98" s="7">
        <v>7026</v>
      </c>
      <c r="G98" s="76">
        <v>1423914</v>
      </c>
      <c r="H98" s="79">
        <f t="shared" si="69"/>
        <v>256419</v>
      </c>
      <c r="I98" s="112"/>
      <c r="J98" s="112"/>
      <c r="K98" s="78">
        <f t="shared" si="66"/>
        <v>4354.4770642201838</v>
      </c>
      <c r="L98" s="24">
        <f t="shared" si="67"/>
        <v>842.63608562691127</v>
      </c>
      <c r="M98" s="31">
        <f t="shared" si="70"/>
        <v>0.15058332585479672</v>
      </c>
      <c r="N98" s="33">
        <f t="shared" si="71"/>
        <v>0.36741097108194321</v>
      </c>
      <c r="O98" s="28">
        <f>F98/D98</f>
        <v>21.486238532110093</v>
      </c>
      <c r="P98" s="57">
        <f t="shared" si="73"/>
        <v>2.5498835023335824E-2</v>
      </c>
      <c r="Q98" s="58">
        <f t="shared" si="74"/>
        <v>784.1559633027523</v>
      </c>
      <c r="R98" s="72">
        <f t="shared" si="75"/>
        <v>5.5530752401343113</v>
      </c>
      <c r="S98" s="92">
        <f t="shared" si="68"/>
        <v>111.7217125382263</v>
      </c>
      <c r="T98" s="93">
        <f t="shared" si="76"/>
        <v>3.7981651376146788</v>
      </c>
    </row>
    <row r="99" spans="2:24" ht="15" thickBot="1" x14ac:dyDescent="0.35"/>
    <row r="100" spans="2:24" ht="29.4" thickBot="1" x14ac:dyDescent="0.35">
      <c r="B100" s="17">
        <v>38078</v>
      </c>
      <c r="C100" s="18" t="s">
        <v>8</v>
      </c>
      <c r="D100" s="19" t="s">
        <v>17</v>
      </c>
      <c r="E100" s="19" t="s">
        <v>15</v>
      </c>
      <c r="F100" s="19" t="s">
        <v>16</v>
      </c>
      <c r="G100" s="19" t="s">
        <v>14</v>
      </c>
      <c r="H100" s="19" t="s">
        <v>38</v>
      </c>
      <c r="I100" s="19"/>
      <c r="J100" s="19"/>
      <c r="K100" s="19" t="s">
        <v>21</v>
      </c>
      <c r="L100" s="19" t="s">
        <v>20</v>
      </c>
      <c r="M100" s="19" t="s">
        <v>40</v>
      </c>
      <c r="N100" s="19" t="s">
        <v>32</v>
      </c>
      <c r="O100" s="19" t="s">
        <v>22</v>
      </c>
      <c r="P100" s="51" t="s">
        <v>34</v>
      </c>
      <c r="Q100" s="20" t="s">
        <v>35</v>
      </c>
      <c r="R100" s="63" t="s">
        <v>39</v>
      </c>
      <c r="S100" s="91" t="s">
        <v>43</v>
      </c>
      <c r="T100" s="91" t="s">
        <v>44</v>
      </c>
      <c r="V100" s="104" t="s">
        <v>48</v>
      </c>
      <c r="W100" s="105" t="s">
        <v>49</v>
      </c>
      <c r="X100" s="106" t="s">
        <v>50</v>
      </c>
    </row>
    <row r="101" spans="2:24" x14ac:dyDescent="0.3">
      <c r="B101" s="3" t="s">
        <v>0</v>
      </c>
      <c r="C101" s="1">
        <v>3630</v>
      </c>
      <c r="D101" s="14">
        <v>14.45</v>
      </c>
      <c r="E101" s="1">
        <v>1219</v>
      </c>
      <c r="F101" s="1">
        <v>94</v>
      </c>
      <c r="G101" s="1">
        <v>71338</v>
      </c>
      <c r="H101" s="1">
        <f>C101-E101-F101</f>
        <v>2317</v>
      </c>
      <c r="I101" s="1"/>
      <c r="J101" s="1"/>
      <c r="K101" s="21">
        <f t="shared" ref="K101:K112" si="77">G101/D101</f>
        <v>4936.8858131487896</v>
      </c>
      <c r="L101" s="21">
        <f t="shared" ref="L101:L112" si="78">C101/D101</f>
        <v>251.21107266435988</v>
      </c>
      <c r="M101" s="31">
        <f>(H101-H87)/H87</f>
        <v>7.0207852193995376E-2</v>
      </c>
      <c r="N101" s="31">
        <f>F101/(E101+F101)</f>
        <v>7.1591774562071595E-2</v>
      </c>
      <c r="O101" s="43">
        <f>F101/D101</f>
        <v>6.5051903114186853</v>
      </c>
      <c r="P101" s="49">
        <f>F101/C101</f>
        <v>2.5895316804407712E-2</v>
      </c>
      <c r="Q101" s="47">
        <f>(C101-E101-F101)/D101</f>
        <v>160.34602076124568</v>
      </c>
      <c r="R101" s="66">
        <f>G101/H101</f>
        <v>30.788951230038844</v>
      </c>
      <c r="S101" s="92">
        <f t="shared" ref="S101:S112" si="79">(C101-C87)/D101</f>
        <v>25.951557093425606</v>
      </c>
      <c r="T101" s="93">
        <f>(F101-F87)/D101</f>
        <v>1.8685121107266436</v>
      </c>
      <c r="V101" s="101" t="str">
        <f>B101</f>
        <v>ON</v>
      </c>
      <c r="W101" s="102">
        <f>C101/D101/180+IFERROR((D101*C101*5)/(F101*F101),400)</f>
        <v>31.077316934549497</v>
      </c>
      <c r="X101" s="103">
        <f>L101/75000/K101*K$447</f>
        <v>1.6081836513379813E-2</v>
      </c>
    </row>
    <row r="102" spans="2:24" x14ac:dyDescent="0.3">
      <c r="B102" s="5" t="s">
        <v>1</v>
      </c>
      <c r="C102" s="1">
        <v>6997</v>
      </c>
      <c r="D102" s="14">
        <v>8.43</v>
      </c>
      <c r="E102" s="1">
        <v>306</v>
      </c>
      <c r="F102" s="1">
        <v>75</v>
      </c>
      <c r="G102" s="1">
        <v>94725</v>
      </c>
      <c r="H102" s="1">
        <f t="shared" ref="H102:H112" si="80">C102-E102-F102</f>
        <v>6616</v>
      </c>
      <c r="I102" s="1"/>
      <c r="J102" s="1"/>
      <c r="K102" s="21">
        <f t="shared" si="77"/>
        <v>11236.654804270464</v>
      </c>
      <c r="L102" s="21">
        <f t="shared" si="78"/>
        <v>830.01186239620404</v>
      </c>
      <c r="M102" s="31">
        <f t="shared" ref="M102:M112" si="81">(H102-H88)/H88</f>
        <v>0.15381932333449599</v>
      </c>
      <c r="N102" s="31">
        <f t="shared" ref="N102:N112" si="82">F102/(E102+F102)</f>
        <v>0.19685039370078741</v>
      </c>
      <c r="O102" s="43">
        <f t="shared" ref="O102:O110" si="83">F102/D102</f>
        <v>8.8967971530249113</v>
      </c>
      <c r="P102" s="49">
        <f t="shared" ref="P102:P112" si="84">F102/C102</f>
        <v>1.0718879519794198E-2</v>
      </c>
      <c r="Q102" s="47">
        <f t="shared" ref="Q102:Q112" si="85">(C102-E102-F102)/D102</f>
        <v>784.81613285883748</v>
      </c>
      <c r="R102" s="66">
        <f t="shared" ref="R102:R112" si="86">G102/H102</f>
        <v>14.317563482466747</v>
      </c>
      <c r="S102" s="92">
        <f t="shared" si="79"/>
        <v>106.2870699881376</v>
      </c>
      <c r="T102" s="93">
        <f t="shared" ref="T102:T112" si="87">(F102-F88)/D102</f>
        <v>1.66073546856465</v>
      </c>
      <c r="V102" s="98" t="str">
        <f t="shared" ref="V102:V112" si="88">B102</f>
        <v>QC</v>
      </c>
      <c r="W102" s="100">
        <f t="shared" ref="W102:W112" si="89">C102/D102/180+IFERROR((D102*C102*5)/(F102*F102),400)</f>
        <v>57.042030346645575</v>
      </c>
      <c r="X102" s="103">
        <f t="shared" ref="X102:X112" si="90">L102/75000/K102*K$447</f>
        <v>2.3345178944649405E-2</v>
      </c>
    </row>
    <row r="103" spans="2:24" x14ac:dyDescent="0.3">
      <c r="B103" s="5" t="s">
        <v>2</v>
      </c>
      <c r="C103" s="1">
        <v>1203</v>
      </c>
      <c r="D103" s="14">
        <v>5.0199999999999996</v>
      </c>
      <c r="E103" s="1">
        <v>704</v>
      </c>
      <c r="F103" s="1">
        <v>38</v>
      </c>
      <c r="G103" s="1">
        <v>48508</v>
      </c>
      <c r="H103" s="1">
        <f t="shared" si="80"/>
        <v>461</v>
      </c>
      <c r="I103" s="1"/>
      <c r="J103" s="1"/>
      <c r="K103" s="21">
        <f t="shared" si="77"/>
        <v>9662.9482071713155</v>
      </c>
      <c r="L103" s="21">
        <f t="shared" si="78"/>
        <v>239.64143426294822</v>
      </c>
      <c r="M103" s="31">
        <f t="shared" si="81"/>
        <v>-7.4297188755020074E-2</v>
      </c>
      <c r="N103" s="31">
        <f t="shared" si="82"/>
        <v>5.1212938005390833E-2</v>
      </c>
      <c r="O103" s="43">
        <f t="shared" si="83"/>
        <v>7.569721115537849</v>
      </c>
      <c r="P103" s="49">
        <f t="shared" si="84"/>
        <v>3.1587697423108893E-2</v>
      </c>
      <c r="Q103" s="47">
        <f t="shared" si="85"/>
        <v>91.832669322709165</v>
      </c>
      <c r="R103" s="66">
        <f t="shared" si="86"/>
        <v>105.22342733188721</v>
      </c>
      <c r="S103" s="92">
        <f t="shared" si="79"/>
        <v>5.7768924302788847</v>
      </c>
      <c r="T103" s="93">
        <f t="shared" si="87"/>
        <v>0.59760956175298807</v>
      </c>
      <c r="V103" s="98" t="str">
        <f t="shared" si="88"/>
        <v>BC</v>
      </c>
      <c r="W103" s="100">
        <f t="shared" si="89"/>
        <v>22.242213877638108</v>
      </c>
      <c r="X103" s="103">
        <f t="shared" si="90"/>
        <v>7.8379448926169659E-3</v>
      </c>
    </row>
    <row r="104" spans="2:24" x14ac:dyDescent="0.3">
      <c r="B104" s="5" t="s">
        <v>3</v>
      </c>
      <c r="C104" s="1">
        <v>1181</v>
      </c>
      <c r="D104" s="14">
        <v>4.34</v>
      </c>
      <c r="E104" s="1">
        <v>196</v>
      </c>
      <c r="F104" s="1">
        <v>20</v>
      </c>
      <c r="G104" s="1">
        <v>64108</v>
      </c>
      <c r="H104" s="1">
        <f t="shared" si="80"/>
        <v>965</v>
      </c>
      <c r="I104" s="1"/>
      <c r="J104" s="1"/>
      <c r="K104" s="21">
        <f t="shared" si="77"/>
        <v>14771.428571428572</v>
      </c>
      <c r="L104" s="21">
        <f t="shared" si="78"/>
        <v>272.11981566820276</v>
      </c>
      <c r="M104" s="31">
        <f t="shared" si="81"/>
        <v>0.13663133097762073</v>
      </c>
      <c r="N104" s="31">
        <f t="shared" si="82"/>
        <v>9.2592592592592587E-2</v>
      </c>
      <c r="O104" s="43">
        <f t="shared" si="83"/>
        <v>4.6082949308755765</v>
      </c>
      <c r="P104" s="49">
        <f t="shared" si="84"/>
        <v>1.6934801016088061E-2</v>
      </c>
      <c r="Q104" s="47">
        <f t="shared" si="85"/>
        <v>222.35023041474656</v>
      </c>
      <c r="R104" s="66">
        <f t="shared" si="86"/>
        <v>66.433160621761658</v>
      </c>
      <c r="S104" s="92">
        <f t="shared" si="79"/>
        <v>44.930875576036868</v>
      </c>
      <c r="T104" s="93">
        <f t="shared" si="87"/>
        <v>1.6129032258064517</v>
      </c>
      <c r="V104" s="98" t="str">
        <f t="shared" si="88"/>
        <v>AL</v>
      </c>
      <c r="W104" s="100">
        <f t="shared" si="89"/>
        <v>65.581026753712237</v>
      </c>
      <c r="X104" s="103">
        <f t="shared" si="90"/>
        <v>5.8222066585774789E-3</v>
      </c>
    </row>
    <row r="105" spans="2:24" x14ac:dyDescent="0.3">
      <c r="B105" s="5" t="s">
        <v>4</v>
      </c>
      <c r="C105" s="1">
        <v>194</v>
      </c>
      <c r="D105" s="14">
        <v>1.36</v>
      </c>
      <c r="E105" s="1">
        <v>11</v>
      </c>
      <c r="F105" s="1">
        <v>2</v>
      </c>
      <c r="G105" s="1">
        <v>12514</v>
      </c>
      <c r="H105" s="1">
        <f t="shared" si="80"/>
        <v>181</v>
      </c>
      <c r="I105" s="1"/>
      <c r="J105" s="1"/>
      <c r="K105" s="21">
        <f t="shared" si="77"/>
        <v>9201.4705882352937</v>
      </c>
      <c r="L105" s="21">
        <f t="shared" si="78"/>
        <v>142.64705882352939</v>
      </c>
      <c r="M105" s="31">
        <f t="shared" si="81"/>
        <v>5.232558139534884E-2</v>
      </c>
      <c r="N105" s="31">
        <f t="shared" si="82"/>
        <v>0.15384615384615385</v>
      </c>
      <c r="O105" s="43">
        <f t="shared" si="83"/>
        <v>1.4705882352941175</v>
      </c>
      <c r="P105" s="49">
        <f t="shared" si="84"/>
        <v>1.0309278350515464E-2</v>
      </c>
      <c r="Q105" s="47">
        <f t="shared" si="85"/>
        <v>133.08823529411762</v>
      </c>
      <c r="R105" s="66">
        <f t="shared" si="86"/>
        <v>69.138121546961329</v>
      </c>
      <c r="S105" s="92">
        <f t="shared" si="79"/>
        <v>8.8235294117647047</v>
      </c>
      <c r="T105" s="93">
        <f t="shared" si="87"/>
        <v>0</v>
      </c>
      <c r="V105" s="98" t="str">
        <f t="shared" si="88"/>
        <v>MA</v>
      </c>
      <c r="W105" s="100">
        <f t="shared" si="89"/>
        <v>330.59248366013077</v>
      </c>
      <c r="X105" s="103">
        <f t="shared" si="90"/>
        <v>4.8995424698805414E-3</v>
      </c>
    </row>
    <row r="106" spans="2:24" x14ac:dyDescent="0.3">
      <c r="B106" s="5" t="s">
        <v>5</v>
      </c>
      <c r="C106" s="1">
        <v>231</v>
      </c>
      <c r="D106" s="14">
        <v>1.17</v>
      </c>
      <c r="E106" s="1">
        <v>55</v>
      </c>
      <c r="F106" s="1">
        <v>3</v>
      </c>
      <c r="G106" s="1">
        <v>12670</v>
      </c>
      <c r="H106" s="1">
        <f t="shared" si="80"/>
        <v>173</v>
      </c>
      <c r="I106" s="1"/>
      <c r="J106" s="1"/>
      <c r="K106" s="21">
        <f t="shared" si="77"/>
        <v>10829.05982905983</v>
      </c>
      <c r="L106" s="21">
        <f t="shared" si="78"/>
        <v>197.43589743589746</v>
      </c>
      <c r="M106" s="31">
        <f t="shared" si="81"/>
        <v>2.3668639053254437E-2</v>
      </c>
      <c r="N106" s="31">
        <f t="shared" si="82"/>
        <v>5.1724137931034482E-2</v>
      </c>
      <c r="O106" s="43">
        <f t="shared" si="83"/>
        <v>2.5641025641025643</v>
      </c>
      <c r="P106" s="49">
        <f t="shared" si="84"/>
        <v>1.2987012987012988E-2</v>
      </c>
      <c r="Q106" s="47">
        <f t="shared" si="85"/>
        <v>147.86324786324786</v>
      </c>
      <c r="R106" s="66">
        <f t="shared" si="86"/>
        <v>73.236994219653184</v>
      </c>
      <c r="S106" s="92">
        <f t="shared" si="79"/>
        <v>9.4017094017094021</v>
      </c>
      <c r="T106" s="93">
        <f t="shared" si="87"/>
        <v>0</v>
      </c>
      <c r="V106" s="98" t="str">
        <f t="shared" si="88"/>
        <v>SA</v>
      </c>
      <c r="W106" s="100">
        <f t="shared" si="89"/>
        <v>151.24686609686609</v>
      </c>
      <c r="X106" s="103">
        <f t="shared" si="90"/>
        <v>5.76215998589397E-3</v>
      </c>
    </row>
    <row r="107" spans="2:24" x14ac:dyDescent="0.3">
      <c r="B107" s="5" t="s">
        <v>6</v>
      </c>
      <c r="C107" s="1">
        <v>236</v>
      </c>
      <c r="D107" s="14">
        <v>0.96499999999999997</v>
      </c>
      <c r="E107" s="1">
        <v>50</v>
      </c>
      <c r="F107" s="1">
        <v>0</v>
      </c>
      <c r="G107" s="1">
        <f>8964+C107</f>
        <v>9200</v>
      </c>
      <c r="H107" s="1">
        <f t="shared" si="80"/>
        <v>186</v>
      </c>
      <c r="I107" s="1"/>
      <c r="J107" s="1"/>
      <c r="K107" s="21">
        <f t="shared" si="77"/>
        <v>9533.6787564766837</v>
      </c>
      <c r="L107" s="21">
        <f t="shared" si="78"/>
        <v>244.559585492228</v>
      </c>
      <c r="M107" s="31">
        <f t="shared" si="81"/>
        <v>0</v>
      </c>
      <c r="N107" s="31">
        <f t="shared" si="82"/>
        <v>0</v>
      </c>
      <c r="O107" s="43">
        <f t="shared" si="83"/>
        <v>0</v>
      </c>
      <c r="P107" s="49">
        <f t="shared" si="84"/>
        <v>0</v>
      </c>
      <c r="Q107" s="47">
        <f t="shared" si="85"/>
        <v>192.74611398963731</v>
      </c>
      <c r="R107" s="66">
        <f t="shared" si="86"/>
        <v>49.462365591397848</v>
      </c>
      <c r="S107" s="92">
        <f t="shared" si="79"/>
        <v>30.051813471502591</v>
      </c>
      <c r="T107" s="93">
        <f t="shared" si="87"/>
        <v>0</v>
      </c>
      <c r="V107" s="98" t="str">
        <f t="shared" si="88"/>
        <v>NS</v>
      </c>
      <c r="W107" s="100">
        <f t="shared" si="89"/>
        <v>401.35866436384572</v>
      </c>
      <c r="X107" s="103">
        <f t="shared" si="90"/>
        <v>8.1072604070305289E-3</v>
      </c>
    </row>
    <row r="108" spans="2:24" x14ac:dyDescent="0.3">
      <c r="B108" s="5" t="s">
        <v>7</v>
      </c>
      <c r="C108" s="1">
        <v>98</v>
      </c>
      <c r="D108" s="14">
        <v>0.77200000000000002</v>
      </c>
      <c r="E108" s="1">
        <v>25</v>
      </c>
      <c r="F108" s="1">
        <v>0</v>
      </c>
      <c r="G108" s="1">
        <v>5308</v>
      </c>
      <c r="H108" s="1">
        <f t="shared" si="80"/>
        <v>73</v>
      </c>
      <c r="I108" s="1"/>
      <c r="J108" s="1"/>
      <c r="K108" s="21">
        <f t="shared" si="77"/>
        <v>6875.6476683937826</v>
      </c>
      <c r="L108" s="21">
        <f t="shared" si="78"/>
        <v>126.94300518134715</v>
      </c>
      <c r="M108" s="31">
        <f t="shared" si="81"/>
        <v>4.2857142857142858E-2</v>
      </c>
      <c r="N108" s="31">
        <f t="shared" si="82"/>
        <v>0</v>
      </c>
      <c r="O108" s="43">
        <f t="shared" si="83"/>
        <v>0</v>
      </c>
      <c r="P108" s="49">
        <f t="shared" si="84"/>
        <v>0</v>
      </c>
      <c r="Q108" s="47">
        <f t="shared" si="85"/>
        <v>94.559585492227981</v>
      </c>
      <c r="R108" s="66">
        <f t="shared" si="86"/>
        <v>72.712328767123282</v>
      </c>
      <c r="S108" s="92">
        <f t="shared" si="79"/>
        <v>3.8860103626943006</v>
      </c>
      <c r="T108" s="93">
        <f t="shared" si="87"/>
        <v>0</v>
      </c>
      <c r="V108" s="98" t="str">
        <f t="shared" si="88"/>
        <v>NB</v>
      </c>
      <c r="W108" s="100">
        <f t="shared" si="89"/>
        <v>400.70523891767414</v>
      </c>
      <c r="X108" s="103">
        <f t="shared" si="90"/>
        <v>5.8350570796389233E-3</v>
      </c>
    </row>
    <row r="109" spans="2:24" x14ac:dyDescent="0.3">
      <c r="B109" s="5" t="s">
        <v>18</v>
      </c>
      <c r="C109" s="9">
        <v>22</v>
      </c>
      <c r="D109" s="15">
        <v>0.154</v>
      </c>
      <c r="E109" s="9">
        <v>6</v>
      </c>
      <c r="F109" s="9">
        <v>0</v>
      </c>
      <c r="G109" s="9">
        <v>1264</v>
      </c>
      <c r="H109" s="1">
        <f t="shared" si="80"/>
        <v>16</v>
      </c>
      <c r="I109" s="9"/>
      <c r="J109" s="9"/>
      <c r="K109" s="22">
        <f t="shared" si="77"/>
        <v>8207.7922077922085</v>
      </c>
      <c r="L109" s="22">
        <f t="shared" si="78"/>
        <v>142.85714285714286</v>
      </c>
      <c r="M109" s="31">
        <f t="shared" si="81"/>
        <v>-0.1111111111111111</v>
      </c>
      <c r="N109" s="31">
        <f t="shared" si="82"/>
        <v>0</v>
      </c>
      <c r="O109" s="44">
        <f t="shared" si="83"/>
        <v>0</v>
      </c>
      <c r="P109" s="49">
        <f t="shared" si="84"/>
        <v>0</v>
      </c>
      <c r="Q109" s="47">
        <f t="shared" si="85"/>
        <v>103.8961038961039</v>
      </c>
      <c r="R109" s="66">
        <f t="shared" si="86"/>
        <v>79</v>
      </c>
      <c r="S109" s="92">
        <f t="shared" si="79"/>
        <v>0</v>
      </c>
      <c r="T109" s="93">
        <f t="shared" si="87"/>
        <v>0</v>
      </c>
      <c r="V109" s="98" t="str">
        <f t="shared" si="88"/>
        <v>PEI</v>
      </c>
      <c r="W109" s="100">
        <f t="shared" si="89"/>
        <v>400.79365079365078</v>
      </c>
      <c r="X109" s="103">
        <f t="shared" si="90"/>
        <v>5.5007961890654452E-3</v>
      </c>
    </row>
    <row r="110" spans="2:24" ht="15" thickBot="1" x14ac:dyDescent="0.35">
      <c r="B110" s="5" t="s">
        <v>11</v>
      </c>
      <c r="C110" s="9">
        <v>203</v>
      </c>
      <c r="D110" s="15">
        <v>0.52400000000000002</v>
      </c>
      <c r="E110" s="9">
        <v>18</v>
      </c>
      <c r="F110" s="9">
        <v>1</v>
      </c>
      <c r="G110" s="9">
        <v>3386</v>
      </c>
      <c r="H110" s="9">
        <f t="shared" si="80"/>
        <v>184</v>
      </c>
      <c r="I110" s="9"/>
      <c r="J110" s="9"/>
      <c r="K110" s="22">
        <f t="shared" si="77"/>
        <v>6461.8320610687024</v>
      </c>
      <c r="L110" s="22">
        <f t="shared" si="78"/>
        <v>387.40458015267171</v>
      </c>
      <c r="M110" s="31">
        <f t="shared" si="81"/>
        <v>-1.0752688172043012E-2</v>
      </c>
      <c r="N110" s="32">
        <f t="shared" si="82"/>
        <v>5.2631578947368418E-2</v>
      </c>
      <c r="O110" s="44">
        <f t="shared" si="83"/>
        <v>1.9083969465648853</v>
      </c>
      <c r="P110" s="59">
        <f t="shared" si="84"/>
        <v>4.9261083743842365E-3</v>
      </c>
      <c r="Q110" s="48">
        <f t="shared" si="85"/>
        <v>351.14503816793894</v>
      </c>
      <c r="R110" s="67">
        <f t="shared" si="86"/>
        <v>18.402173913043477</v>
      </c>
      <c r="S110" s="92">
        <f t="shared" si="79"/>
        <v>15.267175572519083</v>
      </c>
      <c r="T110" s="93">
        <f t="shared" si="87"/>
        <v>0</v>
      </c>
      <c r="V110" s="99" t="str">
        <f t="shared" si="88"/>
        <v>NFLD</v>
      </c>
      <c r="W110" s="107">
        <f t="shared" si="89"/>
        <v>534.01224766751488</v>
      </c>
      <c r="X110" s="103">
        <f t="shared" si="90"/>
        <v>1.8947810446016761E-2</v>
      </c>
    </row>
    <row r="111" spans="2:24" ht="15" thickBot="1" x14ac:dyDescent="0.35">
      <c r="B111" s="11" t="s">
        <v>10</v>
      </c>
      <c r="C111" s="12">
        <v>14018</v>
      </c>
      <c r="D111" s="16">
        <v>37.6</v>
      </c>
      <c r="E111" s="12">
        <v>2603</v>
      </c>
      <c r="F111" s="12">
        <v>233</v>
      </c>
      <c r="G111" s="12">
        <f>SUM(G101:G110)</f>
        <v>323021</v>
      </c>
      <c r="H111" s="81">
        <f t="shared" si="80"/>
        <v>11182</v>
      </c>
      <c r="I111" s="111"/>
      <c r="J111" s="111"/>
      <c r="K111" s="77">
        <f t="shared" si="77"/>
        <v>8590.9840425531911</v>
      </c>
      <c r="L111" s="23">
        <f t="shared" si="78"/>
        <v>372.81914893617022</v>
      </c>
      <c r="M111" s="31">
        <f t="shared" si="81"/>
        <v>0.11909527622097678</v>
      </c>
      <c r="N111" s="33">
        <f t="shared" si="82"/>
        <v>8.2157968970380815E-2</v>
      </c>
      <c r="O111" s="27">
        <f>F111/D111</f>
        <v>6.1968085106382977</v>
      </c>
      <c r="P111" s="57">
        <f t="shared" si="84"/>
        <v>1.662148666000856E-2</v>
      </c>
      <c r="Q111" s="55">
        <f t="shared" si="85"/>
        <v>297.39361702127661</v>
      </c>
      <c r="R111" s="74">
        <f t="shared" si="86"/>
        <v>28.887587193704167</v>
      </c>
      <c r="S111" s="92">
        <f t="shared" si="79"/>
        <v>41.914893617021278</v>
      </c>
      <c r="T111" s="93">
        <f t="shared" si="87"/>
        <v>1.3563829787234043</v>
      </c>
      <c r="V111" s="108" t="str">
        <f t="shared" si="88"/>
        <v>Canada</v>
      </c>
      <c r="W111" s="109">
        <f t="shared" si="89"/>
        <v>50.614826696690734</v>
      </c>
      <c r="X111" s="103">
        <f t="shared" si="90"/>
        <v>1.3715297918513565E-2</v>
      </c>
    </row>
    <row r="112" spans="2:24" ht="15" thickBot="1" x14ac:dyDescent="0.35">
      <c r="B112" s="6" t="s">
        <v>9</v>
      </c>
      <c r="C112" s="7">
        <v>309097</v>
      </c>
      <c r="D112" s="7">
        <v>327</v>
      </c>
      <c r="E112" s="7">
        <v>14825</v>
      </c>
      <c r="F112" s="7">
        <v>8379</v>
      </c>
      <c r="G112" s="7">
        <v>1653201</v>
      </c>
      <c r="H112" s="82">
        <f t="shared" si="80"/>
        <v>285893</v>
      </c>
      <c r="I112" s="112"/>
      <c r="J112" s="112"/>
      <c r="K112" s="78">
        <f t="shared" si="77"/>
        <v>5055.660550458716</v>
      </c>
      <c r="L112" s="24">
        <f t="shared" si="78"/>
        <v>945.25076452599387</v>
      </c>
      <c r="M112" s="31">
        <f t="shared" si="81"/>
        <v>0.11494468038639882</v>
      </c>
      <c r="N112" s="33">
        <f t="shared" si="82"/>
        <v>0.36110153421823821</v>
      </c>
      <c r="O112" s="28">
        <f>F112/D112</f>
        <v>25.623853211009173</v>
      </c>
      <c r="P112" s="56">
        <f t="shared" si="84"/>
        <v>2.7107995224799983E-2</v>
      </c>
      <c r="Q112" s="58">
        <f t="shared" si="85"/>
        <v>874.29051987767582</v>
      </c>
      <c r="R112" s="72">
        <f t="shared" si="86"/>
        <v>5.7825864921491608</v>
      </c>
      <c r="S112" s="92">
        <f t="shared" si="79"/>
        <v>102.61467889908256</v>
      </c>
      <c r="T112" s="93">
        <f t="shared" si="87"/>
        <v>4.1376146788990829</v>
      </c>
      <c r="V112" s="108" t="str">
        <f t="shared" si="88"/>
        <v>USA</v>
      </c>
      <c r="W112" s="109">
        <f t="shared" si="89"/>
        <v>12.449663692020241</v>
      </c>
      <c r="X112" s="103">
        <f t="shared" si="90"/>
        <v>5.9090692265258135E-2</v>
      </c>
    </row>
    <row r="113" spans="2:20" ht="15" thickBot="1" x14ac:dyDescent="0.35"/>
    <row r="114" spans="2:20" ht="28.8" x14ac:dyDescent="0.3">
      <c r="B114" s="17">
        <v>38808</v>
      </c>
      <c r="C114" s="18" t="s">
        <v>8</v>
      </c>
      <c r="D114" s="19" t="s">
        <v>17</v>
      </c>
      <c r="E114" s="19" t="s">
        <v>15</v>
      </c>
      <c r="F114" s="19" t="s">
        <v>16</v>
      </c>
      <c r="G114" s="19" t="s">
        <v>14</v>
      </c>
      <c r="H114" s="19" t="s">
        <v>38</v>
      </c>
      <c r="I114" s="19"/>
      <c r="J114" s="19"/>
      <c r="K114" s="19" t="s">
        <v>21</v>
      </c>
      <c r="L114" s="19" t="s">
        <v>20</v>
      </c>
      <c r="M114" s="19" t="s">
        <v>40</v>
      </c>
      <c r="N114" s="19" t="s">
        <v>32</v>
      </c>
      <c r="O114" s="19" t="s">
        <v>22</v>
      </c>
      <c r="P114" s="51" t="s">
        <v>34</v>
      </c>
      <c r="Q114" s="20" t="s">
        <v>35</v>
      </c>
      <c r="R114" s="63" t="s">
        <v>39</v>
      </c>
      <c r="S114" s="91" t="s">
        <v>43</v>
      </c>
      <c r="T114" s="91" t="s">
        <v>44</v>
      </c>
    </row>
    <row r="115" spans="2:20" x14ac:dyDescent="0.3">
      <c r="B115" s="3" t="s">
        <v>0</v>
      </c>
      <c r="C115" s="1">
        <v>4347</v>
      </c>
      <c r="D115" s="14">
        <v>14.45</v>
      </c>
      <c r="E115" s="1">
        <v>1624</v>
      </c>
      <c r="F115" s="1">
        <v>132</v>
      </c>
      <c r="G115" s="1">
        <v>78796</v>
      </c>
      <c r="H115" s="1">
        <f>C115-E115-F115</f>
        <v>2591</v>
      </c>
      <c r="I115" s="1"/>
      <c r="J115" s="1"/>
      <c r="K115" s="21">
        <f t="shared" ref="K115:K126" si="91">G115/D115</f>
        <v>5453.0103806228381</v>
      </c>
      <c r="L115" s="21">
        <f t="shared" ref="L115:L126" si="92">C115/D115</f>
        <v>300.83044982698965</v>
      </c>
      <c r="M115" s="31">
        <f>(H115-H101)/H101</f>
        <v>0.11825636599050496</v>
      </c>
      <c r="N115" s="31">
        <f>F115/(E115+F115)</f>
        <v>7.5170842824601361E-2</v>
      </c>
      <c r="O115" s="43">
        <f>F115/D115</f>
        <v>9.1349480968858128</v>
      </c>
      <c r="P115" s="49">
        <f>F115/C115</f>
        <v>3.036576949620428E-2</v>
      </c>
      <c r="Q115" s="47">
        <f>(C115-E115-F115)/D115</f>
        <v>179.30795847750866</v>
      </c>
      <c r="R115" s="66">
        <f>G115/H115</f>
        <v>30.411424160555772</v>
      </c>
      <c r="S115" s="92">
        <f>(C115-C101)/D115/2</f>
        <v>24.80968858131488</v>
      </c>
      <c r="T115" s="93">
        <f>(F115-F101)/D115/2</f>
        <v>1.3148788927335642</v>
      </c>
    </row>
    <row r="116" spans="2:20" x14ac:dyDescent="0.3">
      <c r="B116" s="5" t="s">
        <v>1</v>
      </c>
      <c r="C116" s="1">
        <v>8580</v>
      </c>
      <c r="D116" s="14">
        <v>8.43</v>
      </c>
      <c r="E116" s="1">
        <v>611</v>
      </c>
      <c r="F116" s="1">
        <v>121</v>
      </c>
      <c r="G116" s="1">
        <v>103055</v>
      </c>
      <c r="H116" s="1">
        <f t="shared" ref="H116:H126" si="93">C116-E116-F116</f>
        <v>7848</v>
      </c>
      <c r="I116" s="1"/>
      <c r="J116" s="1"/>
      <c r="K116" s="21">
        <f t="shared" si="91"/>
        <v>12224.792408066431</v>
      </c>
      <c r="L116" s="21">
        <f t="shared" si="92"/>
        <v>1017.7935943060498</v>
      </c>
      <c r="M116" s="31">
        <f t="shared" ref="M116:M126" si="94">(H116-H102)/H102</f>
        <v>0.18621523579201935</v>
      </c>
      <c r="N116" s="31">
        <f t="shared" ref="N116:N126" si="95">F116/(E116+F116)</f>
        <v>0.16530054644808742</v>
      </c>
      <c r="O116" s="43">
        <f t="shared" ref="O116:O124" si="96">F116/D116</f>
        <v>14.353499406880191</v>
      </c>
      <c r="P116" s="49">
        <f t="shared" ref="P116:P126" si="97">F116/C116</f>
        <v>1.4102564102564103E-2</v>
      </c>
      <c r="Q116" s="47">
        <f t="shared" ref="Q116:Q126" si="98">(C116-E116-F116)/D116</f>
        <v>930.96085409252669</v>
      </c>
      <c r="R116" s="66">
        <f t="shared" ref="R116:R126" si="99">G116/H116</f>
        <v>13.131371049949031</v>
      </c>
      <c r="S116" s="92">
        <f t="shared" ref="S116:S126" si="100">(C116-C102)/D116/2</f>
        <v>93.890865954922901</v>
      </c>
      <c r="T116" s="93">
        <f t="shared" ref="T116:T126" si="101">(F116-F102)/D116/2</f>
        <v>2.7283511269276395</v>
      </c>
    </row>
    <row r="117" spans="2:20" x14ac:dyDescent="0.3">
      <c r="B117" s="5" t="s">
        <v>2</v>
      </c>
      <c r="C117" s="1">
        <v>1266</v>
      </c>
      <c r="D117" s="14">
        <v>5.0199999999999996</v>
      </c>
      <c r="E117" s="1">
        <v>783</v>
      </c>
      <c r="F117" s="1">
        <v>39</v>
      </c>
      <c r="G117" s="1">
        <v>48508</v>
      </c>
      <c r="H117" s="1">
        <f t="shared" si="93"/>
        <v>444</v>
      </c>
      <c r="I117" s="1"/>
      <c r="J117" s="1"/>
      <c r="K117" s="21">
        <f t="shared" si="91"/>
        <v>9662.9482071713155</v>
      </c>
      <c r="L117" s="21">
        <f t="shared" si="92"/>
        <v>252.19123505976097</v>
      </c>
      <c r="M117" s="31">
        <f t="shared" si="94"/>
        <v>-3.6876355748373099E-2</v>
      </c>
      <c r="N117" s="31">
        <f t="shared" si="95"/>
        <v>4.7445255474452552E-2</v>
      </c>
      <c r="O117" s="43">
        <f t="shared" si="96"/>
        <v>7.7689243027888457</v>
      </c>
      <c r="P117" s="49">
        <f t="shared" si="97"/>
        <v>3.0805687203791468E-2</v>
      </c>
      <c r="Q117" s="47">
        <f t="shared" si="98"/>
        <v>88.446215139442245</v>
      </c>
      <c r="R117" s="66">
        <f t="shared" si="99"/>
        <v>109.25225225225225</v>
      </c>
      <c r="S117" s="92">
        <f t="shared" si="100"/>
        <v>6.2749003984063751</v>
      </c>
      <c r="T117" s="93">
        <f t="shared" si="101"/>
        <v>9.9601593625498017E-2</v>
      </c>
    </row>
    <row r="118" spans="2:20" x14ac:dyDescent="0.3">
      <c r="B118" s="5" t="s">
        <v>3</v>
      </c>
      <c r="C118" s="1">
        <v>1250</v>
      </c>
      <c r="D118" s="14">
        <v>4.34</v>
      </c>
      <c r="E118" s="1">
        <v>295</v>
      </c>
      <c r="F118" s="1">
        <v>23</v>
      </c>
      <c r="G118" s="1">
        <v>64806</v>
      </c>
      <c r="H118" s="1">
        <f t="shared" si="93"/>
        <v>932</v>
      </c>
      <c r="I118" s="1"/>
      <c r="J118" s="1"/>
      <c r="K118" s="21">
        <f t="shared" si="91"/>
        <v>14932.258064516129</v>
      </c>
      <c r="L118" s="21">
        <f t="shared" si="92"/>
        <v>288.0184331797235</v>
      </c>
      <c r="M118" s="31">
        <f t="shared" si="94"/>
        <v>-3.4196891191709843E-2</v>
      </c>
      <c r="N118" s="31">
        <f t="shared" si="95"/>
        <v>7.2327044025157231E-2</v>
      </c>
      <c r="O118" s="43">
        <f t="shared" si="96"/>
        <v>5.2995391705069128</v>
      </c>
      <c r="P118" s="49">
        <f t="shared" si="97"/>
        <v>1.84E-2</v>
      </c>
      <c r="Q118" s="47">
        <f t="shared" si="98"/>
        <v>214.74654377880185</v>
      </c>
      <c r="R118" s="66">
        <f t="shared" si="99"/>
        <v>69.534334763948493</v>
      </c>
      <c r="S118" s="92">
        <f t="shared" si="100"/>
        <v>7.9493087557603692</v>
      </c>
      <c r="T118" s="93">
        <f t="shared" si="101"/>
        <v>0.34562211981566821</v>
      </c>
    </row>
    <row r="119" spans="2:20" x14ac:dyDescent="0.3">
      <c r="B119" s="5" t="s">
        <v>4</v>
      </c>
      <c r="C119" s="1">
        <v>204</v>
      </c>
      <c r="D119" s="14">
        <v>1.36</v>
      </c>
      <c r="E119" s="1">
        <v>17</v>
      </c>
      <c r="F119" s="1">
        <v>2</v>
      </c>
      <c r="G119" s="1">
        <v>12998</v>
      </c>
      <c r="H119" s="1">
        <f t="shared" si="93"/>
        <v>185</v>
      </c>
      <c r="I119" s="1"/>
      <c r="J119" s="1"/>
      <c r="K119" s="21">
        <f t="shared" si="91"/>
        <v>9557.3529411764703</v>
      </c>
      <c r="L119" s="21">
        <f t="shared" si="92"/>
        <v>150</v>
      </c>
      <c r="M119" s="31">
        <f t="shared" si="94"/>
        <v>2.2099447513812154E-2</v>
      </c>
      <c r="N119" s="31">
        <f t="shared" si="95"/>
        <v>0.10526315789473684</v>
      </c>
      <c r="O119" s="43">
        <f t="shared" si="96"/>
        <v>1.4705882352941175</v>
      </c>
      <c r="P119" s="49">
        <f t="shared" si="97"/>
        <v>9.8039215686274508E-3</v>
      </c>
      <c r="Q119" s="47">
        <f t="shared" si="98"/>
        <v>136.02941176470588</v>
      </c>
      <c r="R119" s="66">
        <f t="shared" si="99"/>
        <v>70.259459459459464</v>
      </c>
      <c r="S119" s="92">
        <f t="shared" si="100"/>
        <v>3.6764705882352939</v>
      </c>
      <c r="T119" s="93">
        <f t="shared" si="101"/>
        <v>0</v>
      </c>
    </row>
    <row r="120" spans="2:20" x14ac:dyDescent="0.3">
      <c r="B120" s="5" t="s">
        <v>5</v>
      </c>
      <c r="C120" s="1">
        <v>253</v>
      </c>
      <c r="D120" s="14">
        <v>1.17</v>
      </c>
      <c r="E120" s="1">
        <v>81</v>
      </c>
      <c r="F120" s="1">
        <v>3</v>
      </c>
      <c r="G120" s="1">
        <v>14178</v>
      </c>
      <c r="H120" s="1">
        <f t="shared" si="93"/>
        <v>169</v>
      </c>
      <c r="I120" s="1"/>
      <c r="J120" s="1"/>
      <c r="K120" s="21">
        <f t="shared" si="91"/>
        <v>12117.948717948719</v>
      </c>
      <c r="L120" s="21">
        <f t="shared" si="92"/>
        <v>216.23931623931625</v>
      </c>
      <c r="M120" s="31">
        <f t="shared" si="94"/>
        <v>-2.3121387283236993E-2</v>
      </c>
      <c r="N120" s="31">
        <f t="shared" si="95"/>
        <v>3.5714285714285712E-2</v>
      </c>
      <c r="O120" s="43">
        <f t="shared" si="96"/>
        <v>2.5641025641025643</v>
      </c>
      <c r="P120" s="49">
        <f t="shared" si="97"/>
        <v>1.1857707509881422E-2</v>
      </c>
      <c r="Q120" s="47">
        <f t="shared" si="98"/>
        <v>144.44444444444446</v>
      </c>
      <c r="R120" s="66">
        <f t="shared" si="99"/>
        <v>83.89349112426035</v>
      </c>
      <c r="S120" s="92">
        <f t="shared" si="100"/>
        <v>9.4017094017094021</v>
      </c>
      <c r="T120" s="93">
        <f t="shared" si="101"/>
        <v>0</v>
      </c>
    </row>
    <row r="121" spans="2:20" x14ac:dyDescent="0.3">
      <c r="B121" s="5" t="s">
        <v>6</v>
      </c>
      <c r="C121" s="1">
        <v>293</v>
      </c>
      <c r="D121" s="14">
        <v>0.96499999999999997</v>
      </c>
      <c r="E121" s="1">
        <v>64</v>
      </c>
      <c r="F121" s="1">
        <v>0</v>
      </c>
      <c r="G121" s="1">
        <f>10218+C121</f>
        <v>10511</v>
      </c>
      <c r="H121" s="1">
        <f t="shared" si="93"/>
        <v>229</v>
      </c>
      <c r="I121" s="1"/>
      <c r="J121" s="1"/>
      <c r="K121" s="21">
        <f t="shared" si="91"/>
        <v>10892.227979274612</v>
      </c>
      <c r="L121" s="21">
        <f t="shared" si="92"/>
        <v>303.62694300518137</v>
      </c>
      <c r="M121" s="31">
        <f t="shared" si="94"/>
        <v>0.23118279569892472</v>
      </c>
      <c r="N121" s="31">
        <f t="shared" si="95"/>
        <v>0</v>
      </c>
      <c r="O121" s="43">
        <f t="shared" si="96"/>
        <v>0</v>
      </c>
      <c r="P121" s="49">
        <f t="shared" si="97"/>
        <v>0</v>
      </c>
      <c r="Q121" s="47">
        <f t="shared" si="98"/>
        <v>237.3056994818653</v>
      </c>
      <c r="R121" s="66">
        <f t="shared" si="99"/>
        <v>45.89956331877729</v>
      </c>
      <c r="S121" s="92">
        <f t="shared" si="100"/>
        <v>29.533678756476686</v>
      </c>
      <c r="T121" s="93">
        <f t="shared" si="101"/>
        <v>0</v>
      </c>
    </row>
    <row r="122" spans="2:20" x14ac:dyDescent="0.3">
      <c r="B122" s="5" t="s">
        <v>7</v>
      </c>
      <c r="C122" s="1">
        <v>103</v>
      </c>
      <c r="D122" s="14">
        <v>0.77200000000000002</v>
      </c>
      <c r="E122" s="1">
        <v>30</v>
      </c>
      <c r="F122" s="1">
        <v>0</v>
      </c>
      <c r="G122" s="1">
        <v>5808</v>
      </c>
      <c r="H122" s="1">
        <f t="shared" si="93"/>
        <v>73</v>
      </c>
      <c r="I122" s="1"/>
      <c r="J122" s="1"/>
      <c r="K122" s="21">
        <f t="shared" si="91"/>
        <v>7523.3160621761654</v>
      </c>
      <c r="L122" s="21">
        <f t="shared" si="92"/>
        <v>133.41968911917098</v>
      </c>
      <c r="M122" s="31">
        <f t="shared" si="94"/>
        <v>0</v>
      </c>
      <c r="N122" s="31">
        <f t="shared" si="95"/>
        <v>0</v>
      </c>
      <c r="O122" s="43">
        <f t="shared" si="96"/>
        <v>0</v>
      </c>
      <c r="P122" s="49">
        <f t="shared" si="97"/>
        <v>0</v>
      </c>
      <c r="Q122" s="47">
        <f t="shared" si="98"/>
        <v>94.559585492227981</v>
      </c>
      <c r="R122" s="66">
        <f t="shared" si="99"/>
        <v>79.561643835616437</v>
      </c>
      <c r="S122" s="92">
        <f t="shared" si="100"/>
        <v>3.2383419689119171</v>
      </c>
      <c r="T122" s="93">
        <f t="shared" si="101"/>
        <v>0</v>
      </c>
    </row>
    <row r="123" spans="2:20" x14ac:dyDescent="0.3">
      <c r="B123" s="5" t="s">
        <v>18</v>
      </c>
      <c r="C123" s="9">
        <v>22</v>
      </c>
      <c r="D123" s="15">
        <v>0.154</v>
      </c>
      <c r="E123" s="9">
        <v>8</v>
      </c>
      <c r="F123" s="9">
        <v>0</v>
      </c>
      <c r="G123" s="9">
        <v>1264</v>
      </c>
      <c r="H123" s="1">
        <f t="shared" si="93"/>
        <v>14</v>
      </c>
      <c r="I123" s="9"/>
      <c r="J123" s="9"/>
      <c r="K123" s="22">
        <f t="shared" si="91"/>
        <v>8207.7922077922085</v>
      </c>
      <c r="L123" s="22">
        <f t="shared" si="92"/>
        <v>142.85714285714286</v>
      </c>
      <c r="M123" s="31">
        <f t="shared" si="94"/>
        <v>-0.125</v>
      </c>
      <c r="N123" s="31">
        <f t="shared" si="95"/>
        <v>0</v>
      </c>
      <c r="O123" s="44">
        <f t="shared" si="96"/>
        <v>0</v>
      </c>
      <c r="P123" s="49">
        <f t="shared" si="97"/>
        <v>0</v>
      </c>
      <c r="Q123" s="47">
        <f t="shared" si="98"/>
        <v>90.909090909090907</v>
      </c>
      <c r="R123" s="66">
        <f t="shared" si="99"/>
        <v>90.285714285714292</v>
      </c>
      <c r="S123" s="92">
        <f t="shared" si="100"/>
        <v>0</v>
      </c>
      <c r="T123" s="93">
        <f t="shared" si="101"/>
        <v>0</v>
      </c>
    </row>
    <row r="124" spans="2:20" ht="15" thickBot="1" x14ac:dyDescent="0.35">
      <c r="B124" s="5" t="s">
        <v>11</v>
      </c>
      <c r="C124" s="9">
        <v>226</v>
      </c>
      <c r="D124" s="15">
        <v>0.52400000000000002</v>
      </c>
      <c r="E124" s="9">
        <v>32</v>
      </c>
      <c r="F124" s="9">
        <v>2</v>
      </c>
      <c r="G124" s="9">
        <v>3776</v>
      </c>
      <c r="H124" s="9">
        <f t="shared" si="93"/>
        <v>192</v>
      </c>
      <c r="I124" s="9"/>
      <c r="J124" s="9"/>
      <c r="K124" s="22">
        <f t="shared" si="91"/>
        <v>7206.1068702290077</v>
      </c>
      <c r="L124" s="22">
        <f t="shared" si="92"/>
        <v>431.29770992366412</v>
      </c>
      <c r="M124" s="31">
        <f t="shared" si="94"/>
        <v>4.3478260869565216E-2</v>
      </c>
      <c r="N124" s="32">
        <f t="shared" si="95"/>
        <v>5.8823529411764705E-2</v>
      </c>
      <c r="O124" s="44">
        <f t="shared" si="96"/>
        <v>3.8167938931297707</v>
      </c>
      <c r="P124" s="50">
        <f t="shared" si="97"/>
        <v>8.8495575221238937E-3</v>
      </c>
      <c r="Q124" s="48">
        <f t="shared" si="98"/>
        <v>366.41221374045801</v>
      </c>
      <c r="R124" s="67">
        <f t="shared" si="99"/>
        <v>19.666666666666668</v>
      </c>
      <c r="S124" s="92">
        <f t="shared" si="100"/>
        <v>21.946564885496183</v>
      </c>
      <c r="T124" s="93">
        <f t="shared" si="101"/>
        <v>0.95419847328244267</v>
      </c>
    </row>
    <row r="125" spans="2:20" ht="15" thickBot="1" x14ac:dyDescent="0.35">
      <c r="B125" s="11" t="s">
        <v>10</v>
      </c>
      <c r="C125" s="12">
        <v>16558</v>
      </c>
      <c r="D125" s="16">
        <v>37.6</v>
      </c>
      <c r="E125" s="12">
        <v>3534</v>
      </c>
      <c r="F125" s="12">
        <v>322</v>
      </c>
      <c r="G125" s="12">
        <f>SUM(G115:G124)</f>
        <v>343700</v>
      </c>
      <c r="H125" s="81">
        <f t="shared" si="93"/>
        <v>12702</v>
      </c>
      <c r="I125" s="111"/>
      <c r="J125" s="111"/>
      <c r="K125" s="77">
        <f t="shared" si="91"/>
        <v>9140.9574468085102</v>
      </c>
      <c r="L125" s="23">
        <f t="shared" si="92"/>
        <v>440.37234042553189</v>
      </c>
      <c r="M125" s="31">
        <f t="shared" si="94"/>
        <v>0.13593274906099087</v>
      </c>
      <c r="N125" s="33">
        <f t="shared" si="95"/>
        <v>8.3506224066390036E-2</v>
      </c>
      <c r="O125" s="45">
        <f>F125/D125</f>
        <v>8.5638297872340416</v>
      </c>
      <c r="P125" s="53">
        <f t="shared" si="97"/>
        <v>1.9446793090953013E-2</v>
      </c>
      <c r="Q125" s="55">
        <f t="shared" si="98"/>
        <v>337.81914893617022</v>
      </c>
      <c r="R125" s="74">
        <f t="shared" si="99"/>
        <v>27.058730908518342</v>
      </c>
      <c r="S125" s="92">
        <f t="shared" si="100"/>
        <v>33.776595744680847</v>
      </c>
      <c r="T125" s="93">
        <f t="shared" si="101"/>
        <v>1.1835106382978724</v>
      </c>
    </row>
    <row r="126" spans="2:20" ht="15" thickBot="1" x14ac:dyDescent="0.35">
      <c r="B126" s="6" t="s">
        <v>9</v>
      </c>
      <c r="C126" s="7">
        <v>363815</v>
      </c>
      <c r="D126" s="7">
        <v>327</v>
      </c>
      <c r="E126" s="7">
        <v>19313</v>
      </c>
      <c r="F126" s="7">
        <v>10720</v>
      </c>
      <c r="G126" s="7">
        <v>1925044</v>
      </c>
      <c r="H126" s="82">
        <f t="shared" si="93"/>
        <v>333782</v>
      </c>
      <c r="I126" s="112"/>
      <c r="J126" s="112"/>
      <c r="K126" s="78">
        <f t="shared" si="91"/>
        <v>5886.9847094801225</v>
      </c>
      <c r="L126" s="24">
        <f t="shared" si="92"/>
        <v>1112.5840978593271</v>
      </c>
      <c r="M126" s="31">
        <f t="shared" si="94"/>
        <v>0.16750672454379786</v>
      </c>
      <c r="N126" s="33">
        <f t="shared" si="95"/>
        <v>0.35694069856491195</v>
      </c>
      <c r="O126" s="46">
        <f>F126/D126</f>
        <v>32.782874617737001</v>
      </c>
      <c r="P126" s="52">
        <f t="shared" si="97"/>
        <v>2.9465525060813874E-2</v>
      </c>
      <c r="Q126" s="54">
        <f t="shared" si="98"/>
        <v>1020.7400611620795</v>
      </c>
      <c r="R126" s="72">
        <f t="shared" si="99"/>
        <v>5.7673691211629148</v>
      </c>
      <c r="S126" s="92">
        <f t="shared" si="100"/>
        <v>83.666666666666671</v>
      </c>
      <c r="T126" s="93">
        <f t="shared" si="101"/>
        <v>3.5795107033639142</v>
      </c>
    </row>
    <row r="127" spans="2:20" ht="15" thickBot="1" x14ac:dyDescent="0.35"/>
    <row r="128" spans="2:20" ht="28.8" x14ac:dyDescent="0.3">
      <c r="B128" s="17">
        <v>39173</v>
      </c>
      <c r="C128" s="18" t="s">
        <v>8</v>
      </c>
      <c r="D128" s="19" t="s">
        <v>17</v>
      </c>
      <c r="E128" s="19" t="s">
        <v>15</v>
      </c>
      <c r="F128" s="19" t="s">
        <v>16</v>
      </c>
      <c r="G128" s="19" t="s">
        <v>14</v>
      </c>
      <c r="H128" s="19" t="s">
        <v>38</v>
      </c>
      <c r="I128" s="19"/>
      <c r="J128" s="19"/>
      <c r="K128" s="19" t="s">
        <v>21</v>
      </c>
      <c r="L128" s="19" t="s">
        <v>20</v>
      </c>
      <c r="M128" s="19" t="s">
        <v>40</v>
      </c>
      <c r="N128" s="19" t="s">
        <v>32</v>
      </c>
      <c r="O128" s="19" t="s">
        <v>22</v>
      </c>
      <c r="P128" s="51" t="s">
        <v>34</v>
      </c>
      <c r="Q128" s="20" t="s">
        <v>35</v>
      </c>
      <c r="R128" s="63" t="s">
        <v>39</v>
      </c>
      <c r="S128" s="91" t="s">
        <v>43</v>
      </c>
      <c r="T128" s="91" t="s">
        <v>44</v>
      </c>
    </row>
    <row r="129" spans="2:20" x14ac:dyDescent="0.3">
      <c r="B129" s="3" t="s">
        <v>0</v>
      </c>
      <c r="C129" s="1">
        <v>4726</v>
      </c>
      <c r="D129" s="14">
        <v>14.45</v>
      </c>
      <c r="E129" s="1">
        <v>1802</v>
      </c>
      <c r="F129" s="1">
        <v>153</v>
      </c>
      <c r="G129" s="1">
        <v>81364</v>
      </c>
      <c r="H129" s="1">
        <f>C129-E129-F129</f>
        <v>2771</v>
      </c>
      <c r="I129" s="1"/>
      <c r="J129" s="1"/>
      <c r="K129" s="21">
        <f t="shared" ref="K129:K140" si="102">G129/D129</f>
        <v>5630.7266435986166</v>
      </c>
      <c r="L129" s="21">
        <f t="shared" ref="L129:L140" si="103">C129/D129</f>
        <v>327.05882352941177</v>
      </c>
      <c r="M129" s="31">
        <f>(H129-H115)/H115</f>
        <v>6.9471246622925517E-2</v>
      </c>
      <c r="N129" s="31">
        <f>F129/(E129+F129)</f>
        <v>7.8260869565217397E-2</v>
      </c>
      <c r="O129" s="43">
        <f>F129/D129</f>
        <v>10.588235294117647</v>
      </c>
      <c r="P129" s="49">
        <f>F129/C129</f>
        <v>3.237410071942446E-2</v>
      </c>
      <c r="Q129" s="47">
        <f>(C129-E129-F129)/D129</f>
        <v>191.76470588235296</v>
      </c>
      <c r="R129" s="66">
        <f>G129/H129</f>
        <v>29.362684951281125</v>
      </c>
      <c r="S129" s="92">
        <f t="shared" ref="S129:S140" si="104">(C129-C115)/D129</f>
        <v>26.228373702422147</v>
      </c>
      <c r="T129" s="93">
        <f>(F129-F115)/D129</f>
        <v>1.453287197231834</v>
      </c>
    </row>
    <row r="130" spans="2:20" x14ac:dyDescent="0.3">
      <c r="B130" s="5" t="s">
        <v>1</v>
      </c>
      <c r="C130" s="1">
        <v>9340</v>
      </c>
      <c r="D130" s="14">
        <v>8.43</v>
      </c>
      <c r="E130" s="1">
        <v>720</v>
      </c>
      <c r="F130" s="1">
        <v>150</v>
      </c>
      <c r="G130" s="1">
        <v>106998</v>
      </c>
      <c r="H130" s="1">
        <f t="shared" ref="H130:H140" si="105">C130-E130-F130</f>
        <v>8470</v>
      </c>
      <c r="I130" s="1"/>
      <c r="J130" s="1"/>
      <c r="K130" s="21">
        <f t="shared" si="102"/>
        <v>12692.52669039146</v>
      </c>
      <c r="L130" s="21">
        <f t="shared" si="103"/>
        <v>1107.9478054567023</v>
      </c>
      <c r="M130" s="31">
        <f t="shared" ref="M130:M140" si="106">(H130-H116)/H116</f>
        <v>7.9255861365953112E-2</v>
      </c>
      <c r="N130" s="31">
        <f t="shared" ref="N130:N140" si="107">F130/(E130+F130)</f>
        <v>0.17241379310344829</v>
      </c>
      <c r="O130" s="43">
        <f t="shared" ref="O130:O138" si="108">F130/D130</f>
        <v>17.793594306049823</v>
      </c>
      <c r="P130" s="49">
        <f t="shared" ref="P130:P140" si="109">F130/C130</f>
        <v>1.6059957173447537E-2</v>
      </c>
      <c r="Q130" s="47">
        <f t="shared" ref="Q130:Q140" si="110">(C130-E130-F130)/D130</f>
        <v>1004.7449584816134</v>
      </c>
      <c r="R130" s="66">
        <f t="shared" ref="R130:R140" si="111">G130/H130</f>
        <v>12.63258559622196</v>
      </c>
      <c r="S130" s="92">
        <f t="shared" si="104"/>
        <v>90.154211150652429</v>
      </c>
      <c r="T130" s="93">
        <f t="shared" ref="T130:T140" si="112">(F130-F116)/D130</f>
        <v>3.4400948991696323</v>
      </c>
    </row>
    <row r="131" spans="2:20" x14ac:dyDescent="0.3">
      <c r="B131" s="5" t="s">
        <v>2</v>
      </c>
      <c r="C131" s="1">
        <v>1291</v>
      </c>
      <c r="D131" s="14">
        <v>5.0199999999999996</v>
      </c>
      <c r="E131" s="1">
        <v>805</v>
      </c>
      <c r="F131" s="1">
        <v>43</v>
      </c>
      <c r="G131" s="1">
        <v>50350</v>
      </c>
      <c r="H131" s="1">
        <f t="shared" si="105"/>
        <v>443</v>
      </c>
      <c r="I131" s="1"/>
      <c r="J131" s="1"/>
      <c r="K131" s="21">
        <f t="shared" si="102"/>
        <v>10029.880478087651</v>
      </c>
      <c r="L131" s="21">
        <f t="shared" si="103"/>
        <v>257.17131474103587</v>
      </c>
      <c r="M131" s="31">
        <f t="shared" si="106"/>
        <v>-2.2522522522522522E-3</v>
      </c>
      <c r="N131" s="31">
        <f t="shared" si="107"/>
        <v>5.0707547169811323E-2</v>
      </c>
      <c r="O131" s="43">
        <f t="shared" si="108"/>
        <v>8.56573705179283</v>
      </c>
      <c r="P131" s="49">
        <f t="shared" si="109"/>
        <v>3.3307513555383424E-2</v>
      </c>
      <c r="Q131" s="47">
        <f t="shared" si="110"/>
        <v>88.247011952191244</v>
      </c>
      <c r="R131" s="66">
        <f t="shared" si="111"/>
        <v>113.6568848758465</v>
      </c>
      <c r="S131" s="92">
        <f t="shared" si="104"/>
        <v>4.9800796812749004</v>
      </c>
      <c r="T131" s="93">
        <f t="shared" si="112"/>
        <v>0.79681274900398413</v>
      </c>
    </row>
    <row r="132" spans="2:20" x14ac:dyDescent="0.3">
      <c r="B132" s="5" t="s">
        <v>3</v>
      </c>
      <c r="C132" s="1">
        <v>1373</v>
      </c>
      <c r="D132" s="14">
        <v>4.34</v>
      </c>
      <c r="E132" s="1">
        <v>447</v>
      </c>
      <c r="F132" s="1">
        <v>26</v>
      </c>
      <c r="G132" s="1">
        <v>67117</v>
      </c>
      <c r="H132" s="1">
        <f t="shared" si="105"/>
        <v>900</v>
      </c>
      <c r="I132" s="1"/>
      <c r="J132" s="1"/>
      <c r="K132" s="21">
        <f t="shared" si="102"/>
        <v>15464.746543778803</v>
      </c>
      <c r="L132" s="21">
        <f t="shared" si="103"/>
        <v>316.35944700460828</v>
      </c>
      <c r="M132" s="31">
        <f t="shared" si="106"/>
        <v>-3.4334763948497854E-2</v>
      </c>
      <c r="N132" s="31">
        <f t="shared" si="107"/>
        <v>5.4968287526427059E-2</v>
      </c>
      <c r="O132" s="43">
        <f t="shared" si="108"/>
        <v>5.9907834101382491</v>
      </c>
      <c r="P132" s="49">
        <f t="shared" si="109"/>
        <v>1.8936635105608158E-2</v>
      </c>
      <c r="Q132" s="47">
        <f t="shared" si="110"/>
        <v>207.37327188940094</v>
      </c>
      <c r="R132" s="66">
        <f t="shared" si="111"/>
        <v>74.574444444444438</v>
      </c>
      <c r="S132" s="92">
        <f t="shared" si="104"/>
        <v>28.341013824884794</v>
      </c>
      <c r="T132" s="93">
        <f t="shared" si="112"/>
        <v>0.69124423963133641</v>
      </c>
    </row>
    <row r="133" spans="2:20" x14ac:dyDescent="0.3">
      <c r="B133" s="5" t="s">
        <v>4</v>
      </c>
      <c r="C133" s="1">
        <v>217</v>
      </c>
      <c r="D133" s="14">
        <v>1.36</v>
      </c>
      <c r="E133" s="1">
        <v>21</v>
      </c>
      <c r="F133" s="1">
        <v>3</v>
      </c>
      <c r="G133" s="1">
        <v>14280</v>
      </c>
      <c r="H133" s="1">
        <f t="shared" si="105"/>
        <v>193</v>
      </c>
      <c r="I133" s="1"/>
      <c r="J133" s="1"/>
      <c r="K133" s="21">
        <f t="shared" si="102"/>
        <v>10500</v>
      </c>
      <c r="L133" s="21">
        <f t="shared" si="103"/>
        <v>159.55882352941174</v>
      </c>
      <c r="M133" s="31">
        <f t="shared" si="106"/>
        <v>4.3243243243243246E-2</v>
      </c>
      <c r="N133" s="31">
        <f t="shared" si="107"/>
        <v>0.125</v>
      </c>
      <c r="O133" s="43">
        <f t="shared" si="108"/>
        <v>2.2058823529411762</v>
      </c>
      <c r="P133" s="49">
        <f t="shared" si="109"/>
        <v>1.3824884792626729E-2</v>
      </c>
      <c r="Q133" s="47">
        <f t="shared" si="110"/>
        <v>141.91176470588235</v>
      </c>
      <c r="R133" s="66">
        <f t="shared" si="111"/>
        <v>73.989637305699489</v>
      </c>
      <c r="S133" s="92">
        <f t="shared" si="104"/>
        <v>9.5588235294117645</v>
      </c>
      <c r="T133" s="93">
        <f t="shared" si="112"/>
        <v>0.73529411764705876</v>
      </c>
    </row>
    <row r="134" spans="2:20" x14ac:dyDescent="0.3">
      <c r="B134" s="5" t="s">
        <v>5</v>
      </c>
      <c r="C134" s="1">
        <v>260</v>
      </c>
      <c r="D134" s="14">
        <v>1.17</v>
      </c>
      <c r="E134" s="1">
        <v>88</v>
      </c>
      <c r="F134" s="1">
        <v>3</v>
      </c>
      <c r="G134" s="1">
        <v>14772</v>
      </c>
      <c r="H134" s="1">
        <f t="shared" si="105"/>
        <v>169</v>
      </c>
      <c r="I134" s="1"/>
      <c r="J134" s="1"/>
      <c r="K134" s="21">
        <f t="shared" si="102"/>
        <v>12625.641025641027</v>
      </c>
      <c r="L134" s="21">
        <f t="shared" si="103"/>
        <v>222.22222222222223</v>
      </c>
      <c r="M134" s="31">
        <f t="shared" si="106"/>
        <v>0</v>
      </c>
      <c r="N134" s="31">
        <f t="shared" si="107"/>
        <v>3.2967032967032968E-2</v>
      </c>
      <c r="O134" s="43">
        <f t="shared" si="108"/>
        <v>2.5641025641025643</v>
      </c>
      <c r="P134" s="49">
        <f t="shared" si="109"/>
        <v>1.1538461538461539E-2</v>
      </c>
      <c r="Q134" s="47">
        <f t="shared" si="110"/>
        <v>144.44444444444446</v>
      </c>
      <c r="R134" s="66">
        <f t="shared" si="111"/>
        <v>87.408284023668642</v>
      </c>
      <c r="S134" s="92">
        <f t="shared" si="104"/>
        <v>5.982905982905983</v>
      </c>
      <c r="T134" s="93">
        <f t="shared" si="112"/>
        <v>0</v>
      </c>
    </row>
    <row r="135" spans="2:20" x14ac:dyDescent="0.3">
      <c r="B135" s="5" t="s">
        <v>6</v>
      </c>
      <c r="C135" s="1">
        <v>310</v>
      </c>
      <c r="D135" s="14">
        <v>0.96499999999999997</v>
      </c>
      <c r="E135" s="1">
        <v>66</v>
      </c>
      <c r="F135" s="1">
        <v>1</v>
      </c>
      <c r="G135" s="1">
        <f>10621+C135</f>
        <v>10931</v>
      </c>
      <c r="H135" s="1">
        <f t="shared" si="105"/>
        <v>243</v>
      </c>
      <c r="I135" s="1"/>
      <c r="J135" s="1"/>
      <c r="K135" s="21">
        <f t="shared" si="102"/>
        <v>11327.461139896373</v>
      </c>
      <c r="L135" s="21">
        <f t="shared" si="103"/>
        <v>321.24352331606218</v>
      </c>
      <c r="M135" s="31">
        <f t="shared" si="106"/>
        <v>6.1135371179039298E-2</v>
      </c>
      <c r="N135" s="31">
        <f t="shared" si="107"/>
        <v>1.4925373134328358E-2</v>
      </c>
      <c r="O135" s="43">
        <f t="shared" si="108"/>
        <v>1.0362694300518136</v>
      </c>
      <c r="P135" s="49">
        <f t="shared" si="109"/>
        <v>3.2258064516129032E-3</v>
      </c>
      <c r="Q135" s="47">
        <f t="shared" si="110"/>
        <v>251.81347150259069</v>
      </c>
      <c r="R135" s="66">
        <f t="shared" si="111"/>
        <v>44.983539094650205</v>
      </c>
      <c r="S135" s="92">
        <f t="shared" si="104"/>
        <v>17.616580310880831</v>
      </c>
      <c r="T135" s="93">
        <f t="shared" si="112"/>
        <v>1.0362694300518136</v>
      </c>
    </row>
    <row r="136" spans="2:20" x14ac:dyDescent="0.3">
      <c r="B136" s="5" t="s">
        <v>7</v>
      </c>
      <c r="C136" s="1">
        <v>105</v>
      </c>
      <c r="D136" s="14">
        <v>0.77200000000000002</v>
      </c>
      <c r="E136" s="1">
        <v>39</v>
      </c>
      <c r="F136" s="1">
        <v>0</v>
      </c>
      <c r="G136" s="1">
        <v>6112</v>
      </c>
      <c r="H136" s="1">
        <f t="shared" si="105"/>
        <v>66</v>
      </c>
      <c r="I136" s="1"/>
      <c r="J136" s="1"/>
      <c r="K136" s="21">
        <f t="shared" si="102"/>
        <v>7917.0984455958551</v>
      </c>
      <c r="L136" s="21">
        <f t="shared" si="103"/>
        <v>136.01036269430051</v>
      </c>
      <c r="M136" s="31">
        <f t="shared" si="106"/>
        <v>-9.5890410958904104E-2</v>
      </c>
      <c r="N136" s="31">
        <f t="shared" si="107"/>
        <v>0</v>
      </c>
      <c r="O136" s="43">
        <f t="shared" si="108"/>
        <v>0</v>
      </c>
      <c r="P136" s="49">
        <f t="shared" si="109"/>
        <v>0</v>
      </c>
      <c r="Q136" s="47">
        <f t="shared" si="110"/>
        <v>85.492227979274602</v>
      </c>
      <c r="R136" s="66">
        <f t="shared" si="111"/>
        <v>92.606060606060609</v>
      </c>
      <c r="S136" s="92">
        <f t="shared" si="104"/>
        <v>2.5906735751295336</v>
      </c>
      <c r="T136" s="93">
        <f t="shared" si="112"/>
        <v>0</v>
      </c>
    </row>
    <row r="137" spans="2:20" x14ac:dyDescent="0.3">
      <c r="B137" s="5" t="s">
        <v>18</v>
      </c>
      <c r="C137" s="9">
        <v>22</v>
      </c>
      <c r="D137" s="15">
        <v>0.154</v>
      </c>
      <c r="E137" s="9">
        <v>8</v>
      </c>
      <c r="F137" s="9">
        <v>0</v>
      </c>
      <c r="G137" s="9">
        <v>1482</v>
      </c>
      <c r="H137" s="1">
        <f t="shared" si="105"/>
        <v>14</v>
      </c>
      <c r="I137" s="9"/>
      <c r="J137" s="9"/>
      <c r="K137" s="22">
        <f t="shared" si="102"/>
        <v>9623.3766233766237</v>
      </c>
      <c r="L137" s="22">
        <f t="shared" si="103"/>
        <v>142.85714285714286</v>
      </c>
      <c r="M137" s="31">
        <f t="shared" si="106"/>
        <v>0</v>
      </c>
      <c r="N137" s="31">
        <f t="shared" si="107"/>
        <v>0</v>
      </c>
      <c r="O137" s="44">
        <f t="shared" si="108"/>
        <v>0</v>
      </c>
      <c r="P137" s="49">
        <f t="shared" si="109"/>
        <v>0</v>
      </c>
      <c r="Q137" s="47">
        <f t="shared" si="110"/>
        <v>90.909090909090907</v>
      </c>
      <c r="R137" s="66">
        <f t="shared" si="111"/>
        <v>105.85714285714286</v>
      </c>
      <c r="S137" s="92">
        <f t="shared" si="104"/>
        <v>0</v>
      </c>
      <c r="T137" s="93">
        <f t="shared" si="112"/>
        <v>0</v>
      </c>
    </row>
    <row r="138" spans="2:20" ht="15" thickBot="1" x14ac:dyDescent="0.35">
      <c r="B138" s="5" t="s">
        <v>11</v>
      </c>
      <c r="C138" s="9">
        <v>228</v>
      </c>
      <c r="D138" s="15">
        <v>0.52400000000000002</v>
      </c>
      <c r="E138" s="9">
        <v>49</v>
      </c>
      <c r="F138" s="9">
        <v>2</v>
      </c>
      <c r="G138" s="9">
        <v>3776</v>
      </c>
      <c r="H138" s="9">
        <f t="shared" si="105"/>
        <v>177</v>
      </c>
      <c r="I138" s="9"/>
      <c r="J138" s="9"/>
      <c r="K138" s="22">
        <f t="shared" si="102"/>
        <v>7206.1068702290077</v>
      </c>
      <c r="L138" s="22">
        <f t="shared" si="103"/>
        <v>435.1145038167939</v>
      </c>
      <c r="M138" s="31">
        <f t="shared" si="106"/>
        <v>-7.8125E-2</v>
      </c>
      <c r="N138" s="32">
        <f t="shared" si="107"/>
        <v>3.9215686274509803E-2</v>
      </c>
      <c r="O138" s="44">
        <f t="shared" si="108"/>
        <v>3.8167938931297707</v>
      </c>
      <c r="P138" s="50">
        <f t="shared" si="109"/>
        <v>8.771929824561403E-3</v>
      </c>
      <c r="Q138" s="48">
        <f t="shared" si="110"/>
        <v>337.78625954198469</v>
      </c>
      <c r="R138" s="67">
        <f t="shared" si="111"/>
        <v>21.333333333333332</v>
      </c>
      <c r="S138" s="92">
        <f t="shared" si="104"/>
        <v>3.8167938931297707</v>
      </c>
      <c r="T138" s="93">
        <f t="shared" si="112"/>
        <v>0</v>
      </c>
    </row>
    <row r="139" spans="2:20" ht="15" thickBot="1" x14ac:dyDescent="0.35">
      <c r="B139" s="11" t="s">
        <v>10</v>
      </c>
      <c r="C139" s="12">
        <v>17897</v>
      </c>
      <c r="D139" s="16">
        <v>37.6</v>
      </c>
      <c r="E139" s="12">
        <v>4050</v>
      </c>
      <c r="F139" s="12">
        <v>381</v>
      </c>
      <c r="G139" s="12">
        <f>SUM(G129:G138)</f>
        <v>357182</v>
      </c>
      <c r="H139" s="81">
        <f t="shared" si="105"/>
        <v>13466</v>
      </c>
      <c r="I139" s="111"/>
      <c r="J139" s="111"/>
      <c r="K139" s="77">
        <f t="shared" si="102"/>
        <v>9499.521276595744</v>
      </c>
      <c r="L139" s="23">
        <f t="shared" si="103"/>
        <v>475.98404255319144</v>
      </c>
      <c r="M139" s="31">
        <f t="shared" si="106"/>
        <v>6.014800818768698E-2</v>
      </c>
      <c r="N139" s="33">
        <f t="shared" si="107"/>
        <v>8.5985104942450916E-2</v>
      </c>
      <c r="O139" s="45">
        <f>F139/D139</f>
        <v>10.132978723404255</v>
      </c>
      <c r="P139" s="53">
        <f t="shared" si="109"/>
        <v>2.1288484103481029E-2</v>
      </c>
      <c r="Q139" s="55">
        <f t="shared" si="110"/>
        <v>358.13829787234039</v>
      </c>
      <c r="R139" s="74">
        <f t="shared" si="111"/>
        <v>26.524728946977572</v>
      </c>
      <c r="S139" s="92">
        <f t="shared" si="104"/>
        <v>35.611702127659576</v>
      </c>
      <c r="T139" s="93">
        <f t="shared" si="112"/>
        <v>1.5691489361702127</v>
      </c>
    </row>
    <row r="140" spans="2:20" ht="15" thickBot="1" x14ac:dyDescent="0.35">
      <c r="B140" s="6" t="s">
        <v>9</v>
      </c>
      <c r="C140" s="7">
        <v>394320</v>
      </c>
      <c r="D140" s="7">
        <v>327</v>
      </c>
      <c r="E140" s="7">
        <v>21316</v>
      </c>
      <c r="F140" s="7">
        <v>12646</v>
      </c>
      <c r="G140" s="7">
        <v>2073121</v>
      </c>
      <c r="H140" s="82">
        <f t="shared" si="105"/>
        <v>360358</v>
      </c>
      <c r="I140" s="112"/>
      <c r="J140" s="112"/>
      <c r="K140" s="78">
        <f t="shared" si="102"/>
        <v>6339.8195718654433</v>
      </c>
      <c r="L140" s="24">
        <f t="shared" si="103"/>
        <v>1205.8715596330276</v>
      </c>
      <c r="M140" s="31">
        <f t="shared" si="106"/>
        <v>7.9620830362332307E-2</v>
      </c>
      <c r="N140" s="33">
        <f t="shared" si="107"/>
        <v>0.37235734055709324</v>
      </c>
      <c r="O140" s="46">
        <f>F140/D140</f>
        <v>38.672782874617738</v>
      </c>
      <c r="P140" s="52">
        <f t="shared" si="109"/>
        <v>3.2070399675390548E-2</v>
      </c>
      <c r="Q140" s="54">
        <f t="shared" si="110"/>
        <v>1102.0122324159022</v>
      </c>
      <c r="R140" s="72">
        <f t="shared" si="111"/>
        <v>5.7529484568123923</v>
      </c>
      <c r="S140" s="92">
        <f t="shared" si="104"/>
        <v>93.287461773700301</v>
      </c>
      <c r="T140" s="93">
        <f t="shared" si="112"/>
        <v>5.8899082568807337</v>
      </c>
    </row>
    <row r="141" spans="2:20" ht="15" thickBot="1" x14ac:dyDescent="0.35"/>
    <row r="142" spans="2:20" ht="28.8" x14ac:dyDescent="0.3">
      <c r="B142" s="17">
        <v>39539</v>
      </c>
      <c r="C142" s="18" t="s">
        <v>8</v>
      </c>
      <c r="D142" s="19" t="s">
        <v>17</v>
      </c>
      <c r="E142" s="19" t="s">
        <v>15</v>
      </c>
      <c r="F142" s="19" t="s">
        <v>16</v>
      </c>
      <c r="G142" s="19" t="s">
        <v>14</v>
      </c>
      <c r="H142" s="19" t="s">
        <v>38</v>
      </c>
      <c r="I142" s="19"/>
      <c r="J142" s="19"/>
      <c r="K142" s="19" t="s">
        <v>21</v>
      </c>
      <c r="L142" s="19" t="s">
        <v>20</v>
      </c>
      <c r="M142" s="19" t="s">
        <v>40</v>
      </c>
      <c r="N142" s="19" t="s">
        <v>32</v>
      </c>
      <c r="O142" s="19" t="s">
        <v>22</v>
      </c>
      <c r="P142" s="51" t="s">
        <v>34</v>
      </c>
      <c r="Q142" s="20" t="s">
        <v>35</v>
      </c>
      <c r="R142" s="63" t="s">
        <v>39</v>
      </c>
      <c r="S142" s="91" t="s">
        <v>43</v>
      </c>
      <c r="T142" s="91" t="s">
        <v>44</v>
      </c>
    </row>
    <row r="143" spans="2:20" x14ac:dyDescent="0.3">
      <c r="B143" s="3" t="s">
        <v>0</v>
      </c>
      <c r="C143" s="1">
        <v>5276</v>
      </c>
      <c r="D143" s="14">
        <v>14.45</v>
      </c>
      <c r="E143" s="1">
        <v>2074</v>
      </c>
      <c r="F143" s="1">
        <v>174</v>
      </c>
      <c r="G143" s="1">
        <v>84601</v>
      </c>
      <c r="H143" s="1">
        <f>C143-E143-F143</f>
        <v>3028</v>
      </c>
      <c r="I143" s="1"/>
      <c r="J143" s="1"/>
      <c r="K143" s="21">
        <f t="shared" ref="K143:K154" si="113">G143/D143</f>
        <v>5854.7404844290659</v>
      </c>
      <c r="L143" s="21">
        <f t="shared" ref="L143:L154" si="114">C143/D143</f>
        <v>365.12110726643601</v>
      </c>
      <c r="M143" s="31">
        <f>(H143-H129)/H129</f>
        <v>9.2746300974377485E-2</v>
      </c>
      <c r="N143" s="31">
        <f>F143/(E143+F143)</f>
        <v>7.7402135231316727E-2</v>
      </c>
      <c r="O143" s="43">
        <f>F143/D143</f>
        <v>12.041522491349481</v>
      </c>
      <c r="P143" s="49">
        <f>F143/C143</f>
        <v>3.2979529946929494E-2</v>
      </c>
      <c r="Q143" s="47">
        <f>(C143-E143-F143)/D143</f>
        <v>209.55017301038063</v>
      </c>
      <c r="R143" s="66">
        <f>G143/H143</f>
        <v>27.939564068692206</v>
      </c>
      <c r="S143" s="92">
        <f t="shared" ref="S143:S154" si="115">(C143-C129)/D143</f>
        <v>38.062283737024224</v>
      </c>
      <c r="T143" s="93">
        <f>(F143-F129)/D143</f>
        <v>1.453287197231834</v>
      </c>
    </row>
    <row r="144" spans="2:20" x14ac:dyDescent="0.3">
      <c r="B144" s="5" t="s">
        <v>1</v>
      </c>
      <c r="C144" s="1">
        <v>10031</v>
      </c>
      <c r="D144" s="14">
        <v>8.43</v>
      </c>
      <c r="E144" s="1">
        <v>827</v>
      </c>
      <c r="F144" s="1">
        <v>175</v>
      </c>
      <c r="G144" s="1">
        <v>112107</v>
      </c>
      <c r="H144" s="1">
        <f t="shared" ref="H144:H154" si="116">C144-E144-F144</f>
        <v>9029</v>
      </c>
      <c r="I144" s="1"/>
      <c r="J144" s="1"/>
      <c r="K144" s="21">
        <f t="shared" si="113"/>
        <v>13298.576512455516</v>
      </c>
      <c r="L144" s="21">
        <f t="shared" si="114"/>
        <v>1189.9169632265719</v>
      </c>
      <c r="M144" s="31">
        <f t="shared" ref="M144:M154" si="117">(H144-H130)/H130</f>
        <v>6.5997638724911448E-2</v>
      </c>
      <c r="N144" s="31">
        <f t="shared" ref="N144:N154" si="118">F144/(E144+F144)</f>
        <v>0.17465069860279442</v>
      </c>
      <c r="O144" s="43">
        <f t="shared" ref="O144:O152" si="119">F144/D144</f>
        <v>20.759193357058127</v>
      </c>
      <c r="P144" s="49">
        <f t="shared" ref="P144:P154" si="120">F144/C144</f>
        <v>1.7445917655268667E-2</v>
      </c>
      <c r="Q144" s="47">
        <f t="shared" ref="Q144:Q154" si="121">(C144-E144-F144)/D144</f>
        <v>1071.055753262159</v>
      </c>
      <c r="R144" s="66">
        <f t="shared" ref="R144:R154" si="122">G144/H144</f>
        <v>12.416325174437922</v>
      </c>
      <c r="S144" s="92">
        <f t="shared" si="115"/>
        <v>81.969157769869511</v>
      </c>
      <c r="T144" s="93">
        <f t="shared" ref="T144:T154" si="123">(F144-F130)/D144</f>
        <v>2.9655990510083039</v>
      </c>
    </row>
    <row r="145" spans="2:20" x14ac:dyDescent="0.3">
      <c r="B145" s="5" t="s">
        <v>2</v>
      </c>
      <c r="C145" s="1">
        <v>1336</v>
      </c>
      <c r="D145" s="14">
        <v>5.0199999999999996</v>
      </c>
      <c r="E145" s="1">
        <v>838</v>
      </c>
      <c r="F145" s="1">
        <v>48</v>
      </c>
      <c r="G145" s="1">
        <v>51423</v>
      </c>
      <c r="H145" s="1">
        <f t="shared" si="116"/>
        <v>450</v>
      </c>
      <c r="I145" s="1"/>
      <c r="J145" s="1"/>
      <c r="K145" s="21">
        <f t="shared" si="113"/>
        <v>10243.625498007968</v>
      </c>
      <c r="L145" s="21">
        <f t="shared" si="114"/>
        <v>266.13545816733068</v>
      </c>
      <c r="M145" s="31">
        <f t="shared" si="117"/>
        <v>1.580135440180587E-2</v>
      </c>
      <c r="N145" s="31">
        <f t="shared" si="118"/>
        <v>5.4176072234762979E-2</v>
      </c>
      <c r="O145" s="43">
        <f t="shared" si="119"/>
        <v>9.5617529880478092</v>
      </c>
      <c r="P145" s="49">
        <f t="shared" si="120"/>
        <v>3.5928143712574849E-2</v>
      </c>
      <c r="Q145" s="47">
        <f t="shared" si="121"/>
        <v>89.641434262948209</v>
      </c>
      <c r="R145" s="66">
        <f t="shared" si="122"/>
        <v>114.27333333333333</v>
      </c>
      <c r="S145" s="92">
        <f t="shared" si="115"/>
        <v>8.9641434262948216</v>
      </c>
      <c r="T145" s="93">
        <f t="shared" si="123"/>
        <v>0.99601593625498019</v>
      </c>
    </row>
    <row r="146" spans="2:20" x14ac:dyDescent="0.3">
      <c r="B146" s="5" t="s">
        <v>3</v>
      </c>
      <c r="C146" s="1">
        <v>1423</v>
      </c>
      <c r="D146" s="14">
        <v>4.34</v>
      </c>
      <c r="E146" s="1">
        <v>519</v>
      </c>
      <c r="F146" s="1">
        <v>29</v>
      </c>
      <c r="G146" s="1">
        <v>68762</v>
      </c>
      <c r="H146" s="1">
        <f t="shared" si="116"/>
        <v>875</v>
      </c>
      <c r="I146" s="1"/>
      <c r="J146" s="1"/>
      <c r="K146" s="21">
        <f t="shared" si="113"/>
        <v>15843.778801843318</v>
      </c>
      <c r="L146" s="21">
        <f t="shared" si="114"/>
        <v>327.88018433179724</v>
      </c>
      <c r="M146" s="31">
        <f t="shared" si="117"/>
        <v>-2.7777777777777776E-2</v>
      </c>
      <c r="N146" s="31">
        <f t="shared" si="118"/>
        <v>5.2919708029197078E-2</v>
      </c>
      <c r="O146" s="43">
        <f t="shared" si="119"/>
        <v>6.6820276497695854</v>
      </c>
      <c r="P146" s="49">
        <f t="shared" si="120"/>
        <v>2.0379479971890373E-2</v>
      </c>
      <c r="Q146" s="47">
        <f t="shared" si="121"/>
        <v>201.61290322580646</v>
      </c>
      <c r="R146" s="66">
        <f t="shared" si="122"/>
        <v>78.585142857142856</v>
      </c>
      <c r="S146" s="92">
        <f t="shared" si="115"/>
        <v>11.520737327188941</v>
      </c>
      <c r="T146" s="93">
        <f t="shared" si="123"/>
        <v>0.69124423963133641</v>
      </c>
    </row>
    <row r="147" spans="2:20" x14ac:dyDescent="0.3">
      <c r="B147" s="5" t="s">
        <v>4</v>
      </c>
      <c r="C147" s="1">
        <v>221</v>
      </c>
      <c r="D147" s="14">
        <v>1.36</v>
      </c>
      <c r="E147" s="1">
        <v>69</v>
      </c>
      <c r="F147" s="1">
        <v>3</v>
      </c>
      <c r="G147" s="1">
        <v>14708</v>
      </c>
      <c r="H147" s="1">
        <f t="shared" si="116"/>
        <v>149</v>
      </c>
      <c r="I147" s="1"/>
      <c r="J147" s="1"/>
      <c r="K147" s="21">
        <f t="shared" si="113"/>
        <v>10814.705882352941</v>
      </c>
      <c r="L147" s="21">
        <f t="shared" si="114"/>
        <v>162.5</v>
      </c>
      <c r="M147" s="31">
        <f t="shared" si="117"/>
        <v>-0.22797927461139897</v>
      </c>
      <c r="N147" s="31">
        <f t="shared" si="118"/>
        <v>4.1666666666666664E-2</v>
      </c>
      <c r="O147" s="43">
        <f t="shared" si="119"/>
        <v>2.2058823529411762</v>
      </c>
      <c r="P147" s="49">
        <f t="shared" si="120"/>
        <v>1.3574660633484163E-2</v>
      </c>
      <c r="Q147" s="47">
        <f t="shared" si="121"/>
        <v>109.55882352941175</v>
      </c>
      <c r="R147" s="66">
        <f t="shared" si="122"/>
        <v>98.711409395973149</v>
      </c>
      <c r="S147" s="92">
        <f t="shared" si="115"/>
        <v>2.9411764705882351</v>
      </c>
      <c r="T147" s="93">
        <f t="shared" si="123"/>
        <v>0</v>
      </c>
    </row>
    <row r="148" spans="2:20" x14ac:dyDescent="0.3">
      <c r="B148" s="5" t="s">
        <v>5</v>
      </c>
      <c r="C148" s="1">
        <v>271</v>
      </c>
      <c r="D148" s="14">
        <v>1.17</v>
      </c>
      <c r="E148" s="1">
        <v>103</v>
      </c>
      <c r="F148" s="1">
        <v>3</v>
      </c>
      <c r="G148" s="1">
        <v>15621</v>
      </c>
      <c r="H148" s="1">
        <f t="shared" si="116"/>
        <v>165</v>
      </c>
      <c r="I148" s="1"/>
      <c r="J148" s="1"/>
      <c r="K148" s="21">
        <f t="shared" si="113"/>
        <v>13351.282051282053</v>
      </c>
      <c r="L148" s="21">
        <f t="shared" si="114"/>
        <v>231.62393162393164</v>
      </c>
      <c r="M148" s="31">
        <f t="shared" si="117"/>
        <v>-2.3668639053254437E-2</v>
      </c>
      <c r="N148" s="31">
        <f t="shared" si="118"/>
        <v>2.8301886792452831E-2</v>
      </c>
      <c r="O148" s="43">
        <f t="shared" si="119"/>
        <v>2.5641025641025643</v>
      </c>
      <c r="P148" s="49">
        <f t="shared" si="120"/>
        <v>1.107011070110701E-2</v>
      </c>
      <c r="Q148" s="47">
        <f t="shared" si="121"/>
        <v>141.02564102564102</v>
      </c>
      <c r="R148" s="66">
        <f t="shared" si="122"/>
        <v>94.672727272727272</v>
      </c>
      <c r="S148" s="92">
        <f t="shared" si="115"/>
        <v>9.4017094017094021</v>
      </c>
      <c r="T148" s="93">
        <f t="shared" si="123"/>
        <v>0</v>
      </c>
    </row>
    <row r="149" spans="2:20" x14ac:dyDescent="0.3">
      <c r="B149" s="5" t="s">
        <v>6</v>
      </c>
      <c r="C149" s="1">
        <v>342</v>
      </c>
      <c r="D149" s="14">
        <v>0.96499999999999997</v>
      </c>
      <c r="E149" s="1">
        <v>77</v>
      </c>
      <c r="F149" s="1">
        <v>1</v>
      </c>
      <c r="G149" s="1">
        <f>11346+C149</f>
        <v>11688</v>
      </c>
      <c r="H149" s="1">
        <f t="shared" si="116"/>
        <v>264</v>
      </c>
      <c r="I149" s="1"/>
      <c r="J149" s="1"/>
      <c r="K149" s="21">
        <f t="shared" si="113"/>
        <v>12111.917098445596</v>
      </c>
      <c r="L149" s="21">
        <f t="shared" si="114"/>
        <v>354.40414507772022</v>
      </c>
      <c r="M149" s="31">
        <f t="shared" si="117"/>
        <v>8.6419753086419748E-2</v>
      </c>
      <c r="N149" s="31">
        <f t="shared" si="118"/>
        <v>1.282051282051282E-2</v>
      </c>
      <c r="O149" s="43">
        <f t="shared" si="119"/>
        <v>1.0362694300518136</v>
      </c>
      <c r="P149" s="49">
        <f t="shared" si="120"/>
        <v>2.9239766081871343E-3</v>
      </c>
      <c r="Q149" s="47">
        <f t="shared" si="121"/>
        <v>273.57512953367876</v>
      </c>
      <c r="R149" s="66">
        <f t="shared" si="122"/>
        <v>44.272727272727273</v>
      </c>
      <c r="S149" s="92">
        <f t="shared" si="115"/>
        <v>33.160621761658035</v>
      </c>
      <c r="T149" s="93">
        <f t="shared" si="123"/>
        <v>0</v>
      </c>
    </row>
    <row r="150" spans="2:20" x14ac:dyDescent="0.3">
      <c r="B150" s="5" t="s">
        <v>7</v>
      </c>
      <c r="C150" s="1">
        <v>108</v>
      </c>
      <c r="D150" s="14">
        <v>0.77200000000000002</v>
      </c>
      <c r="E150" s="1">
        <v>50</v>
      </c>
      <c r="F150" s="1">
        <v>0</v>
      </c>
      <c r="G150" s="1">
        <v>6549</v>
      </c>
      <c r="H150" s="1">
        <f t="shared" si="116"/>
        <v>58</v>
      </c>
      <c r="I150" s="1"/>
      <c r="J150" s="1"/>
      <c r="K150" s="21">
        <f t="shared" si="113"/>
        <v>8483.1606217616572</v>
      </c>
      <c r="L150" s="21">
        <f t="shared" si="114"/>
        <v>139.8963730569948</v>
      </c>
      <c r="M150" s="31">
        <f t="shared" si="117"/>
        <v>-0.12121212121212122</v>
      </c>
      <c r="N150" s="31">
        <f t="shared" si="118"/>
        <v>0</v>
      </c>
      <c r="O150" s="43">
        <f t="shared" si="119"/>
        <v>0</v>
      </c>
      <c r="P150" s="49">
        <f t="shared" si="120"/>
        <v>0</v>
      </c>
      <c r="Q150" s="47">
        <f t="shared" si="121"/>
        <v>75.129533678756474</v>
      </c>
      <c r="R150" s="66">
        <f t="shared" si="122"/>
        <v>112.91379310344827</v>
      </c>
      <c r="S150" s="92">
        <f t="shared" si="115"/>
        <v>3.8860103626943006</v>
      </c>
      <c r="T150" s="93">
        <f t="shared" si="123"/>
        <v>0</v>
      </c>
    </row>
    <row r="151" spans="2:20" x14ac:dyDescent="0.3">
      <c r="B151" s="5" t="s">
        <v>18</v>
      </c>
      <c r="C151" s="9">
        <v>24</v>
      </c>
      <c r="D151" s="15">
        <v>0.154</v>
      </c>
      <c r="E151" s="9">
        <v>17</v>
      </c>
      <c r="F151" s="9">
        <v>0</v>
      </c>
      <c r="G151" s="9">
        <v>1482</v>
      </c>
      <c r="H151" s="1">
        <f t="shared" si="116"/>
        <v>7</v>
      </c>
      <c r="I151" s="9"/>
      <c r="J151" s="9"/>
      <c r="K151" s="22">
        <f t="shared" si="113"/>
        <v>9623.3766233766237</v>
      </c>
      <c r="L151" s="22">
        <f t="shared" si="114"/>
        <v>155.84415584415584</v>
      </c>
      <c r="M151" s="31">
        <f t="shared" si="117"/>
        <v>-0.5</v>
      </c>
      <c r="N151" s="31">
        <f t="shared" si="118"/>
        <v>0</v>
      </c>
      <c r="O151" s="44">
        <f t="shared" si="119"/>
        <v>0</v>
      </c>
      <c r="P151" s="49">
        <f t="shared" si="120"/>
        <v>0</v>
      </c>
      <c r="Q151" s="47">
        <f t="shared" si="121"/>
        <v>45.454545454545453</v>
      </c>
      <c r="R151" s="66">
        <f t="shared" si="122"/>
        <v>211.71428571428572</v>
      </c>
      <c r="S151" s="92">
        <f t="shared" si="115"/>
        <v>12.987012987012987</v>
      </c>
      <c r="T151" s="93">
        <f t="shared" si="123"/>
        <v>0</v>
      </c>
    </row>
    <row r="152" spans="2:20" ht="15" thickBot="1" x14ac:dyDescent="0.35">
      <c r="B152" s="5" t="s">
        <v>11</v>
      </c>
      <c r="C152" s="9">
        <v>232</v>
      </c>
      <c r="D152" s="15">
        <v>0.52400000000000002</v>
      </c>
      <c r="E152" s="9">
        <v>74</v>
      </c>
      <c r="F152" s="9">
        <v>2</v>
      </c>
      <c r="G152" s="9">
        <v>4149</v>
      </c>
      <c r="H152" s="9">
        <f t="shared" si="116"/>
        <v>156</v>
      </c>
      <c r="I152" s="9"/>
      <c r="J152" s="9"/>
      <c r="K152" s="22">
        <f t="shared" si="113"/>
        <v>7917.93893129771</v>
      </c>
      <c r="L152" s="22">
        <f t="shared" si="114"/>
        <v>442.74809160305341</v>
      </c>
      <c r="M152" s="31">
        <f t="shared" si="117"/>
        <v>-0.11864406779661017</v>
      </c>
      <c r="N152" s="32">
        <f t="shared" si="118"/>
        <v>2.6315789473684209E-2</v>
      </c>
      <c r="O152" s="44">
        <f t="shared" si="119"/>
        <v>3.8167938931297707</v>
      </c>
      <c r="P152" s="50">
        <f t="shared" si="120"/>
        <v>8.6206896551724137E-3</v>
      </c>
      <c r="Q152" s="48">
        <f t="shared" si="121"/>
        <v>297.70992366412213</v>
      </c>
      <c r="R152" s="67">
        <f t="shared" si="122"/>
        <v>26.596153846153847</v>
      </c>
      <c r="S152" s="92">
        <f t="shared" si="115"/>
        <v>7.6335877862595414</v>
      </c>
      <c r="T152" s="93">
        <f t="shared" si="123"/>
        <v>0</v>
      </c>
    </row>
    <row r="153" spans="2:20" ht="15" thickBot="1" x14ac:dyDescent="0.35">
      <c r="B153" s="11" t="s">
        <v>10</v>
      </c>
      <c r="C153" s="12">
        <v>19290</v>
      </c>
      <c r="D153" s="16">
        <v>37.6</v>
      </c>
      <c r="E153" s="12">
        <v>4653</v>
      </c>
      <c r="F153" s="12">
        <v>435</v>
      </c>
      <c r="G153" s="12">
        <f>SUM(G143:G152)</f>
        <v>371090</v>
      </c>
      <c r="H153" s="81">
        <f t="shared" si="116"/>
        <v>14202</v>
      </c>
      <c r="I153" s="111"/>
      <c r="J153" s="111"/>
      <c r="K153" s="77">
        <f t="shared" si="113"/>
        <v>9869.4148936170204</v>
      </c>
      <c r="L153" s="23">
        <f t="shared" si="114"/>
        <v>513.031914893617</v>
      </c>
      <c r="M153" s="31">
        <f t="shared" si="117"/>
        <v>5.4656171097579087E-2</v>
      </c>
      <c r="N153" s="33">
        <f t="shared" si="118"/>
        <v>8.5495283018867926E-2</v>
      </c>
      <c r="O153" s="45">
        <f>F153/D153</f>
        <v>11.569148936170212</v>
      </c>
      <c r="P153" s="53">
        <f t="shared" si="120"/>
        <v>2.2550544323483669E-2</v>
      </c>
      <c r="Q153" s="55">
        <f t="shared" si="121"/>
        <v>377.71276595744678</v>
      </c>
      <c r="R153" s="74">
        <f t="shared" si="122"/>
        <v>26.129418391775808</v>
      </c>
      <c r="S153" s="92">
        <f t="shared" si="115"/>
        <v>37.047872340425528</v>
      </c>
      <c r="T153" s="93">
        <f t="shared" si="123"/>
        <v>1.4361702127659575</v>
      </c>
    </row>
    <row r="154" spans="2:20" ht="15" thickBot="1" x14ac:dyDescent="0.35">
      <c r="B154" s="6" t="s">
        <v>9</v>
      </c>
      <c r="C154" s="7">
        <v>424391</v>
      </c>
      <c r="D154" s="7">
        <v>327</v>
      </c>
      <c r="E154" s="7">
        <v>22202</v>
      </c>
      <c r="F154" s="7">
        <v>14547</v>
      </c>
      <c r="G154" s="7">
        <v>2212685</v>
      </c>
      <c r="H154" s="82">
        <f t="shared" si="116"/>
        <v>387642</v>
      </c>
      <c r="I154" s="112"/>
      <c r="J154" s="112"/>
      <c r="K154" s="78">
        <f t="shared" si="113"/>
        <v>6766.6207951070337</v>
      </c>
      <c r="L154" s="24">
        <f t="shared" si="114"/>
        <v>1297.8318042813455</v>
      </c>
      <c r="M154" s="31">
        <f t="shared" si="117"/>
        <v>7.5713595924053301E-2</v>
      </c>
      <c r="N154" s="33">
        <f t="shared" si="118"/>
        <v>0.39584750605458652</v>
      </c>
      <c r="O154" s="46">
        <f>F154/D154</f>
        <v>44.486238532110093</v>
      </c>
      <c r="P154" s="52">
        <f t="shared" si="120"/>
        <v>3.4277352724256638E-2</v>
      </c>
      <c r="Q154" s="54">
        <f t="shared" si="121"/>
        <v>1185.4495412844037</v>
      </c>
      <c r="R154" s="72">
        <f t="shared" si="122"/>
        <v>5.7080631097765462</v>
      </c>
      <c r="S154" s="92">
        <f t="shared" si="115"/>
        <v>91.960244648318039</v>
      </c>
      <c r="T154" s="93">
        <f t="shared" si="123"/>
        <v>5.813455657492355</v>
      </c>
    </row>
    <row r="155" spans="2:20" ht="15" thickBot="1" x14ac:dyDescent="0.35"/>
    <row r="156" spans="2:20" ht="28.8" x14ac:dyDescent="0.3">
      <c r="B156" s="17">
        <v>39904</v>
      </c>
      <c r="C156" s="18" t="s">
        <v>8</v>
      </c>
      <c r="D156" s="19" t="s">
        <v>17</v>
      </c>
      <c r="E156" s="19" t="s">
        <v>15</v>
      </c>
      <c r="F156" s="19" t="s">
        <v>16</v>
      </c>
      <c r="G156" s="19" t="s">
        <v>14</v>
      </c>
      <c r="H156" s="19" t="s">
        <v>38</v>
      </c>
      <c r="I156" s="19"/>
      <c r="J156" s="19"/>
      <c r="K156" s="19" t="s">
        <v>21</v>
      </c>
      <c r="L156" s="19" t="s">
        <v>20</v>
      </c>
      <c r="M156" s="19" t="s">
        <v>40</v>
      </c>
      <c r="N156" s="19" t="s">
        <v>32</v>
      </c>
      <c r="O156" s="19" t="s">
        <v>22</v>
      </c>
      <c r="P156" s="51" t="s">
        <v>34</v>
      </c>
      <c r="Q156" s="20" t="s">
        <v>35</v>
      </c>
      <c r="R156" s="63" t="s">
        <v>39</v>
      </c>
      <c r="S156" s="91" t="s">
        <v>43</v>
      </c>
      <c r="T156" s="91" t="s">
        <v>44</v>
      </c>
    </row>
    <row r="157" spans="2:20" x14ac:dyDescent="0.3">
      <c r="B157" s="3" t="s">
        <v>0</v>
      </c>
      <c r="C157" s="1">
        <v>5759</v>
      </c>
      <c r="D157" s="14">
        <v>14.45</v>
      </c>
      <c r="E157" s="1">
        <v>2305</v>
      </c>
      <c r="F157" s="1">
        <v>200</v>
      </c>
      <c r="G157" s="1">
        <v>88698</v>
      </c>
      <c r="H157" s="1">
        <f>C157-E157-F157</f>
        <v>3254</v>
      </c>
      <c r="I157" s="1"/>
      <c r="J157" s="1"/>
      <c r="K157" s="21">
        <f t="shared" ref="K157:K168" si="124">G157/D157</f>
        <v>6138.2698961937722</v>
      </c>
      <c r="L157" s="21">
        <f t="shared" ref="L157:L168" si="125">C157/D157</f>
        <v>398.54671280276818</v>
      </c>
      <c r="M157" s="31">
        <f>(H157-H143)/H143</f>
        <v>7.4636723910171732E-2</v>
      </c>
      <c r="N157" s="31">
        <f>F157/(E157+F157)</f>
        <v>7.9840319361277445E-2</v>
      </c>
      <c r="O157" s="43">
        <f>F157/D157</f>
        <v>13.84083044982699</v>
      </c>
      <c r="P157" s="49">
        <f>F157/C157</f>
        <v>3.4728251432540373E-2</v>
      </c>
      <c r="Q157" s="47">
        <f>(C157-E157-F157)/D157</f>
        <v>225.19031141868513</v>
      </c>
      <c r="R157" s="66">
        <f>G157/H157</f>
        <v>27.258143822987094</v>
      </c>
      <c r="S157" s="92">
        <f t="shared" ref="S157:S168" si="126">(C157-C143)/D157</f>
        <v>33.425605536332185</v>
      </c>
      <c r="T157" s="93">
        <f>(F157-F143)/D157</f>
        <v>1.7993079584775087</v>
      </c>
    </row>
    <row r="158" spans="2:20" x14ac:dyDescent="0.3">
      <c r="B158" s="5" t="s">
        <v>1</v>
      </c>
      <c r="C158" s="1">
        <v>10912</v>
      </c>
      <c r="D158" s="14">
        <v>8.43</v>
      </c>
      <c r="E158" s="1">
        <v>1112</v>
      </c>
      <c r="F158" s="1">
        <v>216</v>
      </c>
      <c r="G158" s="1">
        <v>116645</v>
      </c>
      <c r="H158" s="1">
        <f t="shared" ref="H158:H168" si="127">C158-E158-F158</f>
        <v>9584</v>
      </c>
      <c r="I158" s="1"/>
      <c r="J158" s="1"/>
      <c r="K158" s="21">
        <f t="shared" si="124"/>
        <v>13836.892052194544</v>
      </c>
      <c r="L158" s="21">
        <f t="shared" si="125"/>
        <v>1294.4246737841045</v>
      </c>
      <c r="M158" s="31">
        <f t="shared" ref="M158:M168" si="128">(H158-H144)/H144</f>
        <v>6.1468601173994906E-2</v>
      </c>
      <c r="N158" s="31">
        <f t="shared" ref="N158:N168" si="129">F158/(E158+F158)</f>
        <v>0.16265060240963855</v>
      </c>
      <c r="O158" s="43">
        <f t="shared" ref="O158:O166" si="130">F158/D158</f>
        <v>25.622775800711743</v>
      </c>
      <c r="P158" s="49">
        <f t="shared" ref="P158:P168" si="131">F158/C158</f>
        <v>1.9794721407624633E-2</v>
      </c>
      <c r="Q158" s="47">
        <f t="shared" ref="Q158:Q168" si="132">(C158-E158-F158)/D158</f>
        <v>1136.8920521945433</v>
      </c>
      <c r="R158" s="66">
        <f t="shared" ref="R158:R168" si="133">G158/H158</f>
        <v>12.170805509181969</v>
      </c>
      <c r="S158" s="92">
        <f t="shared" si="126"/>
        <v>104.50771055753262</v>
      </c>
      <c r="T158" s="93">
        <f t="shared" ref="T158:T168" si="134">(F158-F144)/D158</f>
        <v>4.8635824436536179</v>
      </c>
    </row>
    <row r="159" spans="2:20" x14ac:dyDescent="0.3">
      <c r="B159" s="5" t="s">
        <v>2</v>
      </c>
      <c r="C159" s="1">
        <v>1376</v>
      </c>
      <c r="D159" s="14">
        <v>5.0199999999999996</v>
      </c>
      <c r="E159" s="1">
        <v>858</v>
      </c>
      <c r="F159" s="1">
        <v>50</v>
      </c>
      <c r="G159" s="1">
        <v>52412</v>
      </c>
      <c r="H159" s="1">
        <f t="shared" si="127"/>
        <v>468</v>
      </c>
      <c r="I159" s="1"/>
      <c r="J159" s="1"/>
      <c r="K159" s="21">
        <f t="shared" si="124"/>
        <v>10440.637450199205</v>
      </c>
      <c r="L159" s="21">
        <f t="shared" si="125"/>
        <v>274.10358565737056</v>
      </c>
      <c r="M159" s="31">
        <f t="shared" si="128"/>
        <v>0.04</v>
      </c>
      <c r="N159" s="31">
        <f t="shared" si="129"/>
        <v>5.5066079295154183E-2</v>
      </c>
      <c r="O159" s="43">
        <f t="shared" si="130"/>
        <v>9.9601593625498008</v>
      </c>
      <c r="P159" s="49">
        <f t="shared" si="131"/>
        <v>3.6337209302325583E-2</v>
      </c>
      <c r="Q159" s="47">
        <f t="shared" si="132"/>
        <v>93.227091633466145</v>
      </c>
      <c r="R159" s="66">
        <f t="shared" si="133"/>
        <v>111.99145299145299</v>
      </c>
      <c r="S159" s="92">
        <f t="shared" si="126"/>
        <v>7.9681274900398416</v>
      </c>
      <c r="T159" s="93">
        <f t="shared" si="134"/>
        <v>0.39840637450199207</v>
      </c>
    </row>
    <row r="160" spans="2:20" x14ac:dyDescent="0.3">
      <c r="B160" s="5" t="s">
        <v>3</v>
      </c>
      <c r="C160" s="1">
        <v>1451</v>
      </c>
      <c r="D160" s="14">
        <v>4.34</v>
      </c>
      <c r="E160" s="1">
        <v>592</v>
      </c>
      <c r="F160" s="1">
        <v>32</v>
      </c>
      <c r="G160" s="1">
        <v>70247</v>
      </c>
      <c r="H160" s="1">
        <f t="shared" si="127"/>
        <v>827</v>
      </c>
      <c r="I160" s="1"/>
      <c r="J160" s="1"/>
      <c r="K160" s="21">
        <f t="shared" si="124"/>
        <v>16185.94470046083</v>
      </c>
      <c r="L160" s="21">
        <f t="shared" si="125"/>
        <v>334.33179723502303</v>
      </c>
      <c r="M160" s="31">
        <f t="shared" si="128"/>
        <v>-5.4857142857142854E-2</v>
      </c>
      <c r="N160" s="31">
        <f t="shared" si="129"/>
        <v>5.128205128205128E-2</v>
      </c>
      <c r="O160" s="43">
        <f t="shared" si="130"/>
        <v>7.3732718894009217</v>
      </c>
      <c r="P160" s="49">
        <f t="shared" si="131"/>
        <v>2.2053756030323914E-2</v>
      </c>
      <c r="Q160" s="47">
        <f t="shared" si="132"/>
        <v>190.55299539170508</v>
      </c>
      <c r="R160" s="66">
        <f t="shared" si="133"/>
        <v>84.94195888754534</v>
      </c>
      <c r="S160" s="92">
        <f t="shared" si="126"/>
        <v>6.4516129032258069</v>
      </c>
      <c r="T160" s="93">
        <f t="shared" si="134"/>
        <v>0.69124423963133641</v>
      </c>
    </row>
    <row r="161" spans="2:20" x14ac:dyDescent="0.3">
      <c r="B161" s="5" t="s">
        <v>4</v>
      </c>
      <c r="C161" s="1">
        <v>224</v>
      </c>
      <c r="D161" s="14">
        <v>1.36</v>
      </c>
      <c r="E161" s="1">
        <v>76</v>
      </c>
      <c r="F161" s="1">
        <v>3</v>
      </c>
      <c r="G161" s="1">
        <v>15259</v>
      </c>
      <c r="H161" s="1">
        <f t="shared" si="127"/>
        <v>145</v>
      </c>
      <c r="I161" s="1"/>
      <c r="J161" s="1"/>
      <c r="K161" s="21">
        <f t="shared" si="124"/>
        <v>11219.85294117647</v>
      </c>
      <c r="L161" s="21">
        <f t="shared" si="125"/>
        <v>164.70588235294116</v>
      </c>
      <c r="M161" s="31">
        <f t="shared" si="128"/>
        <v>-2.6845637583892617E-2</v>
      </c>
      <c r="N161" s="31">
        <f t="shared" si="129"/>
        <v>3.7974683544303799E-2</v>
      </c>
      <c r="O161" s="43">
        <f t="shared" si="130"/>
        <v>2.2058823529411762</v>
      </c>
      <c r="P161" s="49">
        <f t="shared" si="131"/>
        <v>1.3392857142857142E-2</v>
      </c>
      <c r="Q161" s="47">
        <f t="shared" si="132"/>
        <v>106.61764705882352</v>
      </c>
      <c r="R161" s="66">
        <f t="shared" si="133"/>
        <v>105.23448275862069</v>
      </c>
      <c r="S161" s="92">
        <f t="shared" si="126"/>
        <v>2.2058823529411762</v>
      </c>
      <c r="T161" s="93">
        <f t="shared" si="134"/>
        <v>0</v>
      </c>
    </row>
    <row r="162" spans="2:20" x14ac:dyDescent="0.3">
      <c r="B162" s="5" t="s">
        <v>5</v>
      </c>
      <c r="C162" s="1">
        <v>278</v>
      </c>
      <c r="D162" s="14">
        <v>1.17</v>
      </c>
      <c r="E162" s="1">
        <v>115</v>
      </c>
      <c r="F162" s="1">
        <v>3</v>
      </c>
      <c r="G162" s="1">
        <v>16059</v>
      </c>
      <c r="H162" s="1">
        <f t="shared" si="127"/>
        <v>160</v>
      </c>
      <c r="I162" s="1"/>
      <c r="J162" s="1"/>
      <c r="K162" s="21">
        <f t="shared" si="124"/>
        <v>13725.641025641027</v>
      </c>
      <c r="L162" s="21">
        <f t="shared" si="125"/>
        <v>237.60683760683762</v>
      </c>
      <c r="M162" s="31">
        <f t="shared" si="128"/>
        <v>-3.0303030303030304E-2</v>
      </c>
      <c r="N162" s="31">
        <f t="shared" si="129"/>
        <v>2.5423728813559324E-2</v>
      </c>
      <c r="O162" s="43">
        <f t="shared" si="130"/>
        <v>2.5641025641025643</v>
      </c>
      <c r="P162" s="49">
        <f t="shared" si="131"/>
        <v>1.0791366906474821E-2</v>
      </c>
      <c r="Q162" s="47">
        <f t="shared" si="132"/>
        <v>136.75213675213675</v>
      </c>
      <c r="R162" s="66">
        <f t="shared" si="133"/>
        <v>100.36875000000001</v>
      </c>
      <c r="S162" s="92">
        <f t="shared" si="126"/>
        <v>5.982905982905983</v>
      </c>
      <c r="T162" s="93">
        <f t="shared" si="134"/>
        <v>0</v>
      </c>
    </row>
    <row r="163" spans="2:20" x14ac:dyDescent="0.3">
      <c r="B163" s="5" t="s">
        <v>6</v>
      </c>
      <c r="C163" s="1">
        <v>373</v>
      </c>
      <c r="D163" s="14">
        <v>0.96499999999999997</v>
      </c>
      <c r="E163" s="1">
        <v>82</v>
      </c>
      <c r="F163" s="1">
        <v>2</v>
      </c>
      <c r="G163" s="1">
        <f>12177+C163</f>
        <v>12550</v>
      </c>
      <c r="H163" s="1">
        <f t="shared" si="127"/>
        <v>289</v>
      </c>
      <c r="I163" s="1"/>
      <c r="J163" s="1"/>
      <c r="K163" s="21">
        <f t="shared" si="124"/>
        <v>13005.181347150259</v>
      </c>
      <c r="L163" s="21">
        <f t="shared" si="125"/>
        <v>386.52849740932646</v>
      </c>
      <c r="M163" s="31">
        <f t="shared" si="128"/>
        <v>9.4696969696969696E-2</v>
      </c>
      <c r="N163" s="31">
        <f t="shared" si="129"/>
        <v>2.3809523809523808E-2</v>
      </c>
      <c r="O163" s="43">
        <f t="shared" si="130"/>
        <v>2.0725388601036272</v>
      </c>
      <c r="P163" s="49">
        <f t="shared" si="131"/>
        <v>5.3619302949061663E-3</v>
      </c>
      <c r="Q163" s="47">
        <f t="shared" si="132"/>
        <v>299.48186528497411</v>
      </c>
      <c r="R163" s="66">
        <f t="shared" si="133"/>
        <v>43.425605536332178</v>
      </c>
      <c r="S163" s="92">
        <f t="shared" si="126"/>
        <v>32.124352331606218</v>
      </c>
      <c r="T163" s="93">
        <f t="shared" si="134"/>
        <v>1.0362694300518136</v>
      </c>
    </row>
    <row r="164" spans="2:20" x14ac:dyDescent="0.3">
      <c r="B164" s="5" t="s">
        <v>7</v>
      </c>
      <c r="C164" s="1">
        <v>111</v>
      </c>
      <c r="D164" s="14">
        <v>0.77200000000000002</v>
      </c>
      <c r="E164" s="1">
        <v>53</v>
      </c>
      <c r="F164" s="1">
        <v>0</v>
      </c>
      <c r="G164" s="1">
        <v>6930</v>
      </c>
      <c r="H164" s="1">
        <f t="shared" si="127"/>
        <v>58</v>
      </c>
      <c r="I164" s="1"/>
      <c r="J164" s="1"/>
      <c r="K164" s="21">
        <f t="shared" si="124"/>
        <v>8976.6839378238346</v>
      </c>
      <c r="L164" s="21">
        <f t="shared" si="125"/>
        <v>143.78238341968913</v>
      </c>
      <c r="M164" s="31">
        <f t="shared" si="128"/>
        <v>0</v>
      </c>
      <c r="N164" s="31">
        <f t="shared" si="129"/>
        <v>0</v>
      </c>
      <c r="O164" s="43">
        <f t="shared" si="130"/>
        <v>0</v>
      </c>
      <c r="P164" s="49">
        <f t="shared" si="131"/>
        <v>0</v>
      </c>
      <c r="Q164" s="47">
        <f t="shared" si="132"/>
        <v>75.129533678756474</v>
      </c>
      <c r="R164" s="66">
        <f t="shared" si="133"/>
        <v>119.48275862068965</v>
      </c>
      <c r="S164" s="92">
        <f t="shared" si="126"/>
        <v>3.8860103626943006</v>
      </c>
      <c r="T164" s="93">
        <f t="shared" si="134"/>
        <v>0</v>
      </c>
    </row>
    <row r="165" spans="2:20" x14ac:dyDescent="0.3">
      <c r="B165" s="5" t="s">
        <v>18</v>
      </c>
      <c r="C165" s="9">
        <v>25</v>
      </c>
      <c r="D165" s="15">
        <v>0.154</v>
      </c>
      <c r="E165" s="9">
        <v>17</v>
      </c>
      <c r="F165" s="9">
        <v>0</v>
      </c>
      <c r="G165" s="9">
        <v>1630</v>
      </c>
      <c r="H165" s="1">
        <f t="shared" si="127"/>
        <v>8</v>
      </c>
      <c r="I165" s="9"/>
      <c r="J165" s="9"/>
      <c r="K165" s="22">
        <f t="shared" si="124"/>
        <v>10584.415584415585</v>
      </c>
      <c r="L165" s="22">
        <f t="shared" si="125"/>
        <v>162.33766233766235</v>
      </c>
      <c r="M165" s="31">
        <f t="shared" si="128"/>
        <v>0.14285714285714285</v>
      </c>
      <c r="N165" s="31">
        <f t="shared" si="129"/>
        <v>0</v>
      </c>
      <c r="O165" s="44">
        <f t="shared" si="130"/>
        <v>0</v>
      </c>
      <c r="P165" s="49">
        <f t="shared" si="131"/>
        <v>0</v>
      </c>
      <c r="Q165" s="47">
        <f t="shared" si="132"/>
        <v>51.948051948051948</v>
      </c>
      <c r="R165" s="66">
        <f t="shared" si="133"/>
        <v>203.75</v>
      </c>
      <c r="S165" s="92">
        <f t="shared" si="126"/>
        <v>6.4935064935064934</v>
      </c>
      <c r="T165" s="93">
        <f t="shared" si="134"/>
        <v>0</v>
      </c>
    </row>
    <row r="166" spans="2:20" ht="15" thickBot="1" x14ac:dyDescent="0.35">
      <c r="B166" s="5" t="s">
        <v>11</v>
      </c>
      <c r="C166" s="9">
        <v>236</v>
      </c>
      <c r="D166" s="15">
        <v>0.52400000000000002</v>
      </c>
      <c r="E166" s="9">
        <v>96</v>
      </c>
      <c r="F166" s="9">
        <v>2</v>
      </c>
      <c r="G166" s="83">
        <v>4390</v>
      </c>
      <c r="H166" s="9">
        <f t="shared" si="127"/>
        <v>138</v>
      </c>
      <c r="I166" s="9"/>
      <c r="J166" s="9"/>
      <c r="K166" s="22">
        <f t="shared" si="124"/>
        <v>8377.8625954198469</v>
      </c>
      <c r="L166" s="22">
        <f t="shared" si="125"/>
        <v>450.38167938931298</v>
      </c>
      <c r="M166" s="31">
        <f t="shared" si="128"/>
        <v>-0.11538461538461539</v>
      </c>
      <c r="N166" s="32">
        <f t="shared" si="129"/>
        <v>2.0408163265306121E-2</v>
      </c>
      <c r="O166" s="44">
        <f t="shared" si="130"/>
        <v>3.8167938931297707</v>
      </c>
      <c r="P166" s="50">
        <f t="shared" si="131"/>
        <v>8.4745762711864406E-3</v>
      </c>
      <c r="Q166" s="48">
        <f t="shared" si="132"/>
        <v>263.35877862595419</v>
      </c>
      <c r="R166" s="67">
        <f t="shared" si="133"/>
        <v>31.811594202898551</v>
      </c>
      <c r="S166" s="92">
        <f t="shared" si="126"/>
        <v>7.6335877862595414</v>
      </c>
      <c r="T166" s="93">
        <f t="shared" si="134"/>
        <v>0</v>
      </c>
    </row>
    <row r="167" spans="2:20" ht="15" thickBot="1" x14ac:dyDescent="0.35">
      <c r="B167" s="11" t="s">
        <v>10</v>
      </c>
      <c r="C167" s="12">
        <v>20765</v>
      </c>
      <c r="D167" s="16">
        <v>37.6</v>
      </c>
      <c r="E167" s="12">
        <v>5311</v>
      </c>
      <c r="F167" s="12">
        <v>509</v>
      </c>
      <c r="G167" s="12">
        <f>SUM(G157:G166)</f>
        <v>384820</v>
      </c>
      <c r="H167" s="81">
        <f t="shared" si="127"/>
        <v>14945</v>
      </c>
      <c r="I167" s="111"/>
      <c r="J167" s="111"/>
      <c r="K167" s="77">
        <f t="shared" si="124"/>
        <v>10234.574468085106</v>
      </c>
      <c r="L167" s="23">
        <f t="shared" si="125"/>
        <v>552.26063829787233</v>
      </c>
      <c r="M167" s="31">
        <f t="shared" si="128"/>
        <v>5.2316575130263346E-2</v>
      </c>
      <c r="N167" s="33">
        <f t="shared" si="129"/>
        <v>8.7457044673539514E-2</v>
      </c>
      <c r="O167" s="45">
        <f>F167/D167</f>
        <v>13.537234042553191</v>
      </c>
      <c r="P167" s="53">
        <f t="shared" si="131"/>
        <v>2.4512400674211413E-2</v>
      </c>
      <c r="Q167" s="55">
        <f t="shared" si="132"/>
        <v>397.47340425531911</v>
      </c>
      <c r="R167" s="74">
        <f t="shared" si="133"/>
        <v>25.749079959852793</v>
      </c>
      <c r="S167" s="92">
        <f t="shared" si="126"/>
        <v>39.228723404255319</v>
      </c>
      <c r="T167" s="93">
        <f t="shared" si="134"/>
        <v>1.9680851063829787</v>
      </c>
    </row>
    <row r="168" spans="2:20" ht="15" thickBot="1" x14ac:dyDescent="0.35">
      <c r="B168" s="6" t="s">
        <v>9</v>
      </c>
      <c r="C168" s="7">
        <v>458474</v>
      </c>
      <c r="D168" s="7">
        <v>327</v>
      </c>
      <c r="E168" s="7">
        <v>24979</v>
      </c>
      <c r="F168" s="7">
        <v>16424</v>
      </c>
      <c r="G168" s="7">
        <v>2375211</v>
      </c>
      <c r="H168" s="82">
        <f t="shared" si="127"/>
        <v>417071</v>
      </c>
      <c r="I168" s="112"/>
      <c r="J168" s="112"/>
      <c r="K168" s="78">
        <f t="shared" si="124"/>
        <v>7263.6422018348621</v>
      </c>
      <c r="L168" s="24">
        <f t="shared" si="125"/>
        <v>1402.0611620795107</v>
      </c>
      <c r="M168" s="31">
        <f t="shared" si="128"/>
        <v>7.5917986183127728E-2</v>
      </c>
      <c r="N168" s="33">
        <f t="shared" si="129"/>
        <v>0.39668623046639134</v>
      </c>
      <c r="O168" s="46">
        <f>F168/D168</f>
        <v>50.226299694189599</v>
      </c>
      <c r="P168" s="52">
        <f t="shared" si="131"/>
        <v>3.5823187356316823E-2</v>
      </c>
      <c r="Q168" s="54">
        <f t="shared" si="132"/>
        <v>1275.4464831804282</v>
      </c>
      <c r="R168" s="72">
        <f t="shared" si="133"/>
        <v>5.6949799914163295</v>
      </c>
      <c r="S168" s="92">
        <f t="shared" si="126"/>
        <v>104.22935779816514</v>
      </c>
      <c r="T168" s="93">
        <f t="shared" si="134"/>
        <v>5.7400611620795106</v>
      </c>
    </row>
    <row r="169" spans="2:20" ht="15" thickBot="1" x14ac:dyDescent="0.35"/>
    <row r="170" spans="2:20" ht="28.8" x14ac:dyDescent="0.3">
      <c r="B170" s="17">
        <v>40269</v>
      </c>
      <c r="C170" s="18" t="s">
        <v>8</v>
      </c>
      <c r="D170" s="19" t="s">
        <v>17</v>
      </c>
      <c r="E170" s="19" t="s">
        <v>15</v>
      </c>
      <c r="F170" s="19" t="s">
        <v>16</v>
      </c>
      <c r="G170" s="19" t="s">
        <v>14</v>
      </c>
      <c r="H170" s="19" t="s">
        <v>38</v>
      </c>
      <c r="I170" s="19"/>
      <c r="J170" s="19"/>
      <c r="K170" s="19" t="s">
        <v>21</v>
      </c>
      <c r="L170" s="19" t="s">
        <v>20</v>
      </c>
      <c r="M170" s="19" t="s">
        <v>40</v>
      </c>
      <c r="N170" s="19" t="s">
        <v>32</v>
      </c>
      <c r="O170" s="19" t="s">
        <v>22</v>
      </c>
      <c r="P170" s="51" t="s">
        <v>34</v>
      </c>
      <c r="Q170" s="20" t="s">
        <v>35</v>
      </c>
      <c r="R170" s="63" t="s">
        <v>39</v>
      </c>
      <c r="S170" s="91" t="s">
        <v>43</v>
      </c>
      <c r="T170" s="91" t="s">
        <v>44</v>
      </c>
    </row>
    <row r="171" spans="2:20" x14ac:dyDescent="0.3">
      <c r="B171" s="3" t="s">
        <v>0</v>
      </c>
      <c r="C171" s="1">
        <v>6237</v>
      </c>
      <c r="D171" s="14">
        <v>14.45</v>
      </c>
      <c r="E171" s="1">
        <v>2574</v>
      </c>
      <c r="F171" s="1">
        <v>222</v>
      </c>
      <c r="G171" s="1">
        <v>92673</v>
      </c>
      <c r="H171" s="1">
        <f>C171-E171-F171</f>
        <v>3441</v>
      </c>
      <c r="I171" s="1"/>
      <c r="J171" s="1"/>
      <c r="K171" s="21">
        <f t="shared" ref="K171:K182" si="135">G171/D171</f>
        <v>6413.3564013840833</v>
      </c>
      <c r="L171" s="21">
        <f t="shared" ref="L171:L182" si="136">C171/D171</f>
        <v>431.6262975778547</v>
      </c>
      <c r="M171" s="31">
        <f>(H171-H157)/H157</f>
        <v>5.7467732022126614E-2</v>
      </c>
      <c r="N171" s="31">
        <f>F171/(E171+F171)</f>
        <v>7.9399141630901282E-2</v>
      </c>
      <c r="O171" s="43">
        <f>F171/D171</f>
        <v>15.363321799307959</v>
      </c>
      <c r="P171" s="49">
        <f>F171/C171</f>
        <v>3.5594035594035595E-2</v>
      </c>
      <c r="Q171" s="47">
        <f>(C171-E171-F171)/D171</f>
        <v>238.13148788927336</v>
      </c>
      <c r="R171" s="66">
        <f>G171/H171</f>
        <v>26.931996512641675</v>
      </c>
      <c r="S171" s="92">
        <f t="shared" ref="S171:S182" si="137">(C171-C157)/D171</f>
        <v>33.079584775086509</v>
      </c>
      <c r="T171" s="93">
        <f>(F171-F157)/D171</f>
        <v>1.5224913494809689</v>
      </c>
    </row>
    <row r="172" spans="2:20" x14ac:dyDescent="0.3">
      <c r="B172" s="5" t="s">
        <v>1</v>
      </c>
      <c r="C172" s="1">
        <v>11677</v>
      </c>
      <c r="D172" s="14">
        <v>8.43</v>
      </c>
      <c r="E172" s="1">
        <v>1341</v>
      </c>
      <c r="F172" s="1">
        <v>241</v>
      </c>
      <c r="G172" s="1">
        <v>118217</v>
      </c>
      <c r="H172" s="1">
        <f t="shared" ref="H172:H182" si="138">C172-E172-F172</f>
        <v>10095</v>
      </c>
      <c r="I172" s="1"/>
      <c r="J172" s="1"/>
      <c r="K172" s="21">
        <f t="shared" si="135"/>
        <v>14023.368920521945</v>
      </c>
      <c r="L172" s="21">
        <f t="shared" si="136"/>
        <v>1385.1720047449585</v>
      </c>
      <c r="M172" s="31">
        <f t="shared" ref="M172:M182" si="139">(H172-H158)/H158</f>
        <v>5.3318030050083474E-2</v>
      </c>
      <c r="N172" s="31">
        <f t="shared" ref="N172:N182" si="140">F172/(E172+F172)</f>
        <v>0.15233881163084703</v>
      </c>
      <c r="O172" s="43">
        <f t="shared" ref="O172:O180" si="141">F172/D172</f>
        <v>28.588374851720047</v>
      </c>
      <c r="P172" s="49">
        <f t="shared" ref="P172:P182" si="142">F172/C172</f>
        <v>2.0638862721589449E-2</v>
      </c>
      <c r="Q172" s="47">
        <f t="shared" ref="Q172:Q182" si="143">(C172-E172-F172)/D172</f>
        <v>1197.5088967971531</v>
      </c>
      <c r="R172" s="66">
        <f t="shared" ref="R172:R182" si="144">G172/H172</f>
        <v>11.710450718177315</v>
      </c>
      <c r="S172" s="92">
        <f t="shared" si="137"/>
        <v>90.7473309608541</v>
      </c>
      <c r="T172" s="93">
        <f t="shared" ref="T172:T182" si="145">(F172-F158)/D172</f>
        <v>2.9655990510083039</v>
      </c>
    </row>
    <row r="173" spans="2:20" x14ac:dyDescent="0.3">
      <c r="B173" s="5" t="s">
        <v>2</v>
      </c>
      <c r="C173" s="1">
        <v>1410</v>
      </c>
      <c r="D173" s="14">
        <v>5.0199999999999996</v>
      </c>
      <c r="E173" s="1">
        <v>879</v>
      </c>
      <c r="F173" s="1">
        <v>55</v>
      </c>
      <c r="G173" s="1">
        <v>52412</v>
      </c>
      <c r="H173" s="1">
        <f t="shared" si="138"/>
        <v>476</v>
      </c>
      <c r="I173" s="1"/>
      <c r="J173" s="1"/>
      <c r="K173" s="21">
        <f t="shared" si="135"/>
        <v>10440.637450199205</v>
      </c>
      <c r="L173" s="21">
        <f t="shared" si="136"/>
        <v>280.8764940239044</v>
      </c>
      <c r="M173" s="31">
        <f t="shared" si="139"/>
        <v>1.7094017094017096E-2</v>
      </c>
      <c r="N173" s="31">
        <f t="shared" si="140"/>
        <v>5.8886509635974305E-2</v>
      </c>
      <c r="O173" s="43">
        <f t="shared" si="141"/>
        <v>10.956175298804782</v>
      </c>
      <c r="P173" s="49">
        <f t="shared" si="142"/>
        <v>3.9007092198581561E-2</v>
      </c>
      <c r="Q173" s="47">
        <f t="shared" si="143"/>
        <v>94.820717131474112</v>
      </c>
      <c r="R173" s="66">
        <f t="shared" si="144"/>
        <v>110.10924369747899</v>
      </c>
      <c r="S173" s="92">
        <f t="shared" si="137"/>
        <v>6.7729083665338647</v>
      </c>
      <c r="T173" s="93">
        <f t="shared" si="145"/>
        <v>0.99601593625498019</v>
      </c>
    </row>
    <row r="174" spans="2:20" x14ac:dyDescent="0.3">
      <c r="B174" s="5" t="s">
        <v>3</v>
      </c>
      <c r="C174" s="1">
        <v>1500</v>
      </c>
      <c r="D174" s="14">
        <v>4.34</v>
      </c>
      <c r="E174" s="1">
        <v>713</v>
      </c>
      <c r="F174" s="1">
        <v>39</v>
      </c>
      <c r="G174" s="1">
        <v>70247</v>
      </c>
      <c r="H174" s="1">
        <f t="shared" si="138"/>
        <v>748</v>
      </c>
      <c r="I174" s="1"/>
      <c r="J174" s="1"/>
      <c r="K174" s="21">
        <f t="shared" si="135"/>
        <v>16185.94470046083</v>
      </c>
      <c r="L174" s="21">
        <f t="shared" si="136"/>
        <v>345.62211981566821</v>
      </c>
      <c r="M174" s="31">
        <f t="shared" si="139"/>
        <v>-9.5525997581620309E-2</v>
      </c>
      <c r="N174" s="31">
        <f t="shared" si="140"/>
        <v>5.1861702127659573E-2</v>
      </c>
      <c r="O174" s="43">
        <f t="shared" si="141"/>
        <v>8.9861751152073737</v>
      </c>
      <c r="P174" s="49">
        <f t="shared" si="142"/>
        <v>2.5999999999999999E-2</v>
      </c>
      <c r="Q174" s="47">
        <f t="shared" si="143"/>
        <v>172.35023041474656</v>
      </c>
      <c r="R174" s="66">
        <f t="shared" si="144"/>
        <v>93.913101604278069</v>
      </c>
      <c r="S174" s="92">
        <f t="shared" si="137"/>
        <v>11.290322580645162</v>
      </c>
      <c r="T174" s="93">
        <f t="shared" si="145"/>
        <v>1.6129032258064517</v>
      </c>
    </row>
    <row r="175" spans="2:20" x14ac:dyDescent="0.3">
      <c r="B175" s="5" t="s">
        <v>4</v>
      </c>
      <c r="C175" s="1">
        <v>230</v>
      </c>
      <c r="D175" s="14">
        <v>1.36</v>
      </c>
      <c r="E175" s="1">
        <v>92</v>
      </c>
      <c r="F175" s="1">
        <v>4</v>
      </c>
      <c r="G175" s="1">
        <v>16220</v>
      </c>
      <c r="H175" s="1">
        <f t="shared" si="138"/>
        <v>134</v>
      </c>
      <c r="I175" s="1"/>
      <c r="J175" s="1"/>
      <c r="K175" s="21">
        <f t="shared" si="135"/>
        <v>11926.470588235294</v>
      </c>
      <c r="L175" s="21">
        <f t="shared" si="136"/>
        <v>169.11764705882351</v>
      </c>
      <c r="M175" s="31">
        <f t="shared" si="139"/>
        <v>-7.586206896551724E-2</v>
      </c>
      <c r="N175" s="31">
        <f t="shared" si="140"/>
        <v>4.1666666666666664E-2</v>
      </c>
      <c r="O175" s="43">
        <f t="shared" si="141"/>
        <v>2.9411764705882351</v>
      </c>
      <c r="P175" s="49">
        <f t="shared" si="142"/>
        <v>1.7391304347826087E-2</v>
      </c>
      <c r="Q175" s="47">
        <f t="shared" si="143"/>
        <v>98.52941176470587</v>
      </c>
      <c r="R175" s="66">
        <f t="shared" si="144"/>
        <v>121.04477611940298</v>
      </c>
      <c r="S175" s="92">
        <f t="shared" si="137"/>
        <v>4.4117647058823524</v>
      </c>
      <c r="T175" s="93">
        <f t="shared" si="145"/>
        <v>0.73529411764705876</v>
      </c>
    </row>
    <row r="176" spans="2:20" x14ac:dyDescent="0.3">
      <c r="B176" s="5" t="s">
        <v>5</v>
      </c>
      <c r="C176" s="1">
        <v>285</v>
      </c>
      <c r="D176" s="14">
        <v>1.17</v>
      </c>
      <c r="E176" s="1">
        <v>136</v>
      </c>
      <c r="F176" s="1">
        <v>3</v>
      </c>
      <c r="G176" s="1">
        <v>17634</v>
      </c>
      <c r="H176" s="1">
        <f t="shared" si="138"/>
        <v>146</v>
      </c>
      <c r="I176" s="1"/>
      <c r="J176" s="1"/>
      <c r="K176" s="21">
        <f t="shared" si="135"/>
        <v>15071.794871794873</v>
      </c>
      <c r="L176" s="21">
        <f t="shared" si="136"/>
        <v>243.58974358974359</v>
      </c>
      <c r="M176" s="31">
        <f t="shared" si="139"/>
        <v>-8.7499999999999994E-2</v>
      </c>
      <c r="N176" s="31">
        <f t="shared" si="140"/>
        <v>2.1582733812949641E-2</v>
      </c>
      <c r="O176" s="43">
        <f t="shared" si="141"/>
        <v>2.5641025641025643</v>
      </c>
      <c r="P176" s="49">
        <f t="shared" si="142"/>
        <v>1.0526315789473684E-2</v>
      </c>
      <c r="Q176" s="47">
        <f t="shared" si="143"/>
        <v>124.7863247863248</v>
      </c>
      <c r="R176" s="66">
        <f t="shared" si="144"/>
        <v>120.78082191780823</v>
      </c>
      <c r="S176" s="92">
        <f t="shared" si="137"/>
        <v>5.982905982905983</v>
      </c>
      <c r="T176" s="93">
        <f t="shared" si="145"/>
        <v>0</v>
      </c>
    </row>
    <row r="177" spans="2:24" x14ac:dyDescent="0.3">
      <c r="B177" s="5" t="s">
        <v>6</v>
      </c>
      <c r="C177" s="1">
        <v>407</v>
      </c>
      <c r="D177" s="14">
        <v>0.96499999999999997</v>
      </c>
      <c r="E177" s="1">
        <v>93</v>
      </c>
      <c r="F177" s="1">
        <v>2</v>
      </c>
      <c r="G177" s="1">
        <f>13014+C177</f>
        <v>13421</v>
      </c>
      <c r="H177" s="1">
        <f t="shared" si="138"/>
        <v>312</v>
      </c>
      <c r="I177" s="1"/>
      <c r="J177" s="1"/>
      <c r="K177" s="21">
        <f t="shared" si="135"/>
        <v>13907.77202072539</v>
      </c>
      <c r="L177" s="21">
        <f t="shared" si="136"/>
        <v>421.76165803108807</v>
      </c>
      <c r="M177" s="31">
        <f t="shared" si="139"/>
        <v>7.9584775086505188E-2</v>
      </c>
      <c r="N177" s="31">
        <f t="shared" si="140"/>
        <v>2.1052631578947368E-2</v>
      </c>
      <c r="O177" s="43">
        <f t="shared" si="141"/>
        <v>2.0725388601036272</v>
      </c>
      <c r="P177" s="49">
        <f t="shared" si="142"/>
        <v>4.9140049140049139E-3</v>
      </c>
      <c r="Q177" s="47">
        <f t="shared" si="143"/>
        <v>323.31606217616581</v>
      </c>
      <c r="R177" s="66">
        <f t="shared" si="144"/>
        <v>43.016025641025642</v>
      </c>
      <c r="S177" s="92">
        <f t="shared" si="137"/>
        <v>35.233160621761662</v>
      </c>
      <c r="T177" s="93">
        <f t="shared" si="145"/>
        <v>0</v>
      </c>
    </row>
    <row r="178" spans="2:24" x14ac:dyDescent="0.3">
      <c r="B178" s="5" t="s">
        <v>7</v>
      </c>
      <c r="C178" s="1">
        <v>112</v>
      </c>
      <c r="D178" s="14">
        <v>0.77200000000000002</v>
      </c>
      <c r="E178" s="1">
        <v>60</v>
      </c>
      <c r="F178" s="1">
        <v>0</v>
      </c>
      <c r="G178" s="1">
        <v>6930</v>
      </c>
      <c r="H178" s="1">
        <f t="shared" si="138"/>
        <v>52</v>
      </c>
      <c r="I178" s="1"/>
      <c r="J178" s="1"/>
      <c r="K178" s="21">
        <f t="shared" si="135"/>
        <v>8976.6839378238346</v>
      </c>
      <c r="L178" s="21">
        <f t="shared" si="136"/>
        <v>145.07772020725389</v>
      </c>
      <c r="M178" s="31">
        <f t="shared" si="139"/>
        <v>-0.10344827586206896</v>
      </c>
      <c r="N178" s="31">
        <f t="shared" si="140"/>
        <v>0</v>
      </c>
      <c r="O178" s="43">
        <f t="shared" si="141"/>
        <v>0</v>
      </c>
      <c r="P178" s="49">
        <f t="shared" si="142"/>
        <v>0</v>
      </c>
      <c r="Q178" s="47">
        <f t="shared" si="143"/>
        <v>67.357512953367873</v>
      </c>
      <c r="R178" s="66">
        <f t="shared" si="144"/>
        <v>133.26923076923077</v>
      </c>
      <c r="S178" s="92">
        <f t="shared" si="137"/>
        <v>1.2953367875647668</v>
      </c>
      <c r="T178" s="93">
        <f t="shared" si="145"/>
        <v>0</v>
      </c>
    </row>
    <row r="179" spans="2:24" x14ac:dyDescent="0.3">
      <c r="B179" s="5" t="s">
        <v>18</v>
      </c>
      <c r="C179" s="9">
        <v>25</v>
      </c>
      <c r="D179" s="15">
        <v>0.154</v>
      </c>
      <c r="E179" s="9">
        <v>17</v>
      </c>
      <c r="F179" s="9">
        <v>0</v>
      </c>
      <c r="G179" s="9">
        <v>1482</v>
      </c>
      <c r="H179" s="1">
        <f t="shared" si="138"/>
        <v>8</v>
      </c>
      <c r="I179" s="9"/>
      <c r="J179" s="9"/>
      <c r="K179" s="22">
        <f t="shared" si="135"/>
        <v>9623.3766233766237</v>
      </c>
      <c r="L179" s="22">
        <f t="shared" si="136"/>
        <v>162.33766233766235</v>
      </c>
      <c r="M179" s="31">
        <f t="shared" si="139"/>
        <v>0</v>
      </c>
      <c r="N179" s="31">
        <f t="shared" si="140"/>
        <v>0</v>
      </c>
      <c r="O179" s="44">
        <f t="shared" si="141"/>
        <v>0</v>
      </c>
      <c r="P179" s="49">
        <f t="shared" si="142"/>
        <v>0</v>
      </c>
      <c r="Q179" s="47">
        <f t="shared" si="143"/>
        <v>51.948051948051948</v>
      </c>
      <c r="R179" s="66">
        <f t="shared" si="144"/>
        <v>185.25</v>
      </c>
      <c r="S179" s="92">
        <f t="shared" si="137"/>
        <v>0</v>
      </c>
      <c r="T179" s="93">
        <f t="shared" si="145"/>
        <v>0</v>
      </c>
    </row>
    <row r="180" spans="2:24" ht="15" thickBot="1" x14ac:dyDescent="0.35">
      <c r="B180" s="5" t="s">
        <v>11</v>
      </c>
      <c r="C180" s="9">
        <v>239</v>
      </c>
      <c r="D180" s="15">
        <v>0.52400000000000002</v>
      </c>
      <c r="E180" s="9">
        <v>103</v>
      </c>
      <c r="F180" s="9">
        <v>2</v>
      </c>
      <c r="G180" s="9">
        <v>4390</v>
      </c>
      <c r="H180" s="9">
        <f t="shared" si="138"/>
        <v>134</v>
      </c>
      <c r="I180" s="9"/>
      <c r="J180" s="9"/>
      <c r="K180" s="22">
        <f t="shared" si="135"/>
        <v>8377.8625954198469</v>
      </c>
      <c r="L180" s="22">
        <f t="shared" si="136"/>
        <v>456.1068702290076</v>
      </c>
      <c r="M180" s="31">
        <f t="shared" si="139"/>
        <v>-2.8985507246376812E-2</v>
      </c>
      <c r="N180" s="32">
        <f t="shared" si="140"/>
        <v>1.9047619047619049E-2</v>
      </c>
      <c r="O180" s="44">
        <f t="shared" si="141"/>
        <v>3.8167938931297707</v>
      </c>
      <c r="P180" s="50">
        <f t="shared" si="142"/>
        <v>8.368200836820083E-3</v>
      </c>
      <c r="Q180" s="48">
        <f t="shared" si="143"/>
        <v>255.72519083969465</v>
      </c>
      <c r="R180" s="67">
        <f t="shared" si="144"/>
        <v>32.761194029850749</v>
      </c>
      <c r="S180" s="92">
        <f t="shared" si="137"/>
        <v>5.7251908396946565</v>
      </c>
      <c r="T180" s="93">
        <f t="shared" si="145"/>
        <v>0</v>
      </c>
    </row>
    <row r="181" spans="2:24" ht="15" thickBot="1" x14ac:dyDescent="0.35">
      <c r="B181" s="11" t="s">
        <v>10</v>
      </c>
      <c r="C181" s="12">
        <v>22148</v>
      </c>
      <c r="D181" s="16">
        <v>37.6</v>
      </c>
      <c r="E181" s="12">
        <v>6013</v>
      </c>
      <c r="F181" s="12">
        <v>569</v>
      </c>
      <c r="G181" s="12">
        <f>SUM(G171:G180)</f>
        <v>393626</v>
      </c>
      <c r="H181" s="81">
        <f t="shared" si="138"/>
        <v>15566</v>
      </c>
      <c r="I181" s="111"/>
      <c r="J181" s="111"/>
      <c r="K181" s="77">
        <f t="shared" si="135"/>
        <v>10468.776595744681</v>
      </c>
      <c r="L181" s="23">
        <f t="shared" si="136"/>
        <v>589.04255319148933</v>
      </c>
      <c r="M181" s="31">
        <f t="shared" si="139"/>
        <v>4.1552358648377384E-2</v>
      </c>
      <c r="N181" s="33">
        <f t="shared" si="140"/>
        <v>8.6447888179884538E-2</v>
      </c>
      <c r="O181" s="45">
        <f>F181/D181</f>
        <v>15.132978723404255</v>
      </c>
      <c r="P181" s="53">
        <f t="shared" si="142"/>
        <v>2.5690807296369876E-2</v>
      </c>
      <c r="Q181" s="55">
        <f t="shared" si="143"/>
        <v>413.98936170212767</v>
      </c>
      <c r="R181" s="74">
        <f t="shared" si="144"/>
        <v>25.287549787999485</v>
      </c>
      <c r="S181" s="92">
        <f t="shared" si="137"/>
        <v>36.781914893617021</v>
      </c>
      <c r="T181" s="93">
        <f t="shared" si="145"/>
        <v>1.5957446808510638</v>
      </c>
    </row>
    <row r="182" spans="2:24" ht="15" thickBot="1" x14ac:dyDescent="0.35">
      <c r="B182" s="6" t="s">
        <v>9</v>
      </c>
      <c r="C182" s="7">
        <v>491156</v>
      </c>
      <c r="D182" s="7">
        <v>327</v>
      </c>
      <c r="E182" s="7">
        <v>26783</v>
      </c>
      <c r="F182" s="7">
        <v>18365</v>
      </c>
      <c r="G182" s="7">
        <v>2519642</v>
      </c>
      <c r="H182" s="82">
        <f t="shared" si="138"/>
        <v>446008</v>
      </c>
      <c r="I182" s="112"/>
      <c r="J182" s="112"/>
      <c r="K182" s="78">
        <f t="shared" si="135"/>
        <v>7705.327217125382</v>
      </c>
      <c r="L182" s="24">
        <f t="shared" si="136"/>
        <v>1502.006116207951</v>
      </c>
      <c r="M182" s="31">
        <f t="shared" si="139"/>
        <v>6.9381472219358337E-2</v>
      </c>
      <c r="N182" s="33">
        <f t="shared" si="140"/>
        <v>0.40677327899353238</v>
      </c>
      <c r="O182" s="46">
        <f>F182/D182</f>
        <v>56.162079510703364</v>
      </c>
      <c r="P182" s="52">
        <f t="shared" si="142"/>
        <v>3.7391378706561659E-2</v>
      </c>
      <c r="Q182" s="54">
        <f t="shared" si="143"/>
        <v>1363.9388379204893</v>
      </c>
      <c r="R182" s="72">
        <f t="shared" si="144"/>
        <v>5.6493201915660709</v>
      </c>
      <c r="S182" s="92">
        <f t="shared" si="137"/>
        <v>99.944954128440372</v>
      </c>
      <c r="T182" s="93">
        <f t="shared" si="145"/>
        <v>5.9357798165137616</v>
      </c>
    </row>
    <row r="183" spans="2:24" ht="15" thickBot="1" x14ac:dyDescent="0.35"/>
    <row r="184" spans="2:24" ht="29.4" thickBot="1" x14ac:dyDescent="0.35">
      <c r="B184" s="17">
        <v>40634</v>
      </c>
      <c r="C184" s="18" t="s">
        <v>8</v>
      </c>
      <c r="D184" s="19" t="s">
        <v>17</v>
      </c>
      <c r="E184" s="19" t="s">
        <v>15</v>
      </c>
      <c r="F184" s="19" t="s">
        <v>16</v>
      </c>
      <c r="G184" s="19" t="s">
        <v>14</v>
      </c>
      <c r="H184" s="19" t="s">
        <v>38</v>
      </c>
      <c r="I184" s="19"/>
      <c r="J184" s="19"/>
      <c r="K184" s="19" t="s">
        <v>21</v>
      </c>
      <c r="L184" s="19" t="s">
        <v>20</v>
      </c>
      <c r="M184" s="19" t="s">
        <v>40</v>
      </c>
      <c r="N184" s="19" t="s">
        <v>32</v>
      </c>
      <c r="O184" s="19" t="s">
        <v>22</v>
      </c>
      <c r="P184" s="51" t="s">
        <v>34</v>
      </c>
      <c r="Q184" s="20" t="s">
        <v>35</v>
      </c>
      <c r="R184" s="63" t="s">
        <v>39</v>
      </c>
      <c r="S184" s="91" t="s">
        <v>43</v>
      </c>
      <c r="T184" s="91" t="s">
        <v>44</v>
      </c>
      <c r="V184" s="104" t="s">
        <v>48</v>
      </c>
      <c r="W184" s="105" t="s">
        <v>49</v>
      </c>
      <c r="X184" s="106" t="s">
        <v>50</v>
      </c>
    </row>
    <row r="185" spans="2:24" x14ac:dyDescent="0.3">
      <c r="B185" s="3" t="s">
        <v>0</v>
      </c>
      <c r="C185" s="1">
        <v>6648</v>
      </c>
      <c r="D185" s="14">
        <v>14.45</v>
      </c>
      <c r="E185" s="1">
        <v>2858</v>
      </c>
      <c r="F185" s="1">
        <v>253</v>
      </c>
      <c r="G185" s="1">
        <v>96321</v>
      </c>
      <c r="H185" s="1">
        <f>C185-E185-F185</f>
        <v>3537</v>
      </c>
      <c r="I185" s="1"/>
      <c r="J185" s="1"/>
      <c r="K185" s="21">
        <f t="shared" ref="K185:K196" si="146">G185/D185</f>
        <v>6665.8131487889277</v>
      </c>
      <c r="L185" s="21">
        <f t="shared" ref="L185:L196" si="147">C185/D185</f>
        <v>460.06920415224914</v>
      </c>
      <c r="M185" s="31">
        <f>(H185-H171)/H171</f>
        <v>2.7898866608544029E-2</v>
      </c>
      <c r="N185" s="31">
        <f>F185/(E185+F185)</f>
        <v>8.1324333011893277E-2</v>
      </c>
      <c r="O185" s="43">
        <f>F185/D185</f>
        <v>17.508650519031143</v>
      </c>
      <c r="P185" s="49">
        <f>F185/C185</f>
        <v>3.8056558363417571E-2</v>
      </c>
      <c r="Q185" s="47">
        <f>(C185-E185-F185)/D185</f>
        <v>244.77508650519033</v>
      </c>
      <c r="R185" s="66">
        <f>G185/H185</f>
        <v>27.232400339270569</v>
      </c>
      <c r="S185" s="92">
        <f t="shared" ref="S185:S196" si="148">(C185-C171)/D185</f>
        <v>28.442906574394463</v>
      </c>
      <c r="T185" s="93">
        <f>(F185-F171)/D185</f>
        <v>2.1453287197231834</v>
      </c>
      <c r="V185" s="101" t="str">
        <f>B185</f>
        <v>ON</v>
      </c>
      <c r="W185" s="102">
        <f>C185/D185/180+IFERROR((D185*C185*5)/(F185*F185),400)</f>
        <v>10.059853535230403</v>
      </c>
      <c r="X185" s="103">
        <f>L185/75000/K185*K$195</f>
        <v>9.9824549428804872E-3</v>
      </c>
    </row>
    <row r="186" spans="2:24" x14ac:dyDescent="0.3">
      <c r="B186" s="5" t="s">
        <v>1</v>
      </c>
      <c r="C186" s="1">
        <v>12292</v>
      </c>
      <c r="D186" s="14">
        <v>8.43</v>
      </c>
      <c r="E186" s="1">
        <v>1341</v>
      </c>
      <c r="F186" s="1">
        <v>289</v>
      </c>
      <c r="G186" s="1">
        <v>125615</v>
      </c>
      <c r="H186" s="1">
        <f t="shared" ref="H186:H196" si="149">C186-E186-F186</f>
        <v>10662</v>
      </c>
      <c r="I186" s="1"/>
      <c r="J186" s="1"/>
      <c r="K186" s="21">
        <f t="shared" si="146"/>
        <v>14900.948991696323</v>
      </c>
      <c r="L186" s="21">
        <f t="shared" si="147"/>
        <v>1458.1257413997628</v>
      </c>
      <c r="M186" s="31">
        <f t="shared" ref="M186:M196" si="150">(H186-H172)/H172</f>
        <v>5.6166419019316495E-2</v>
      </c>
      <c r="N186" s="31">
        <f t="shared" ref="N186:N196" si="151">F186/(E186+F186)</f>
        <v>0.17730061349693252</v>
      </c>
      <c r="O186" s="43">
        <f t="shared" ref="O186:O194" si="152">F186/D186</f>
        <v>34.282325029655993</v>
      </c>
      <c r="P186" s="49">
        <f t="shared" ref="P186:P196" si="153">F186/C186</f>
        <v>2.3511226814188088E-2</v>
      </c>
      <c r="Q186" s="47">
        <f t="shared" ref="Q186:Q196" si="154">(C186-E186-F186)/D186</f>
        <v>1264.7686832740214</v>
      </c>
      <c r="R186" s="66">
        <f t="shared" ref="R186:R196" si="155">G186/H186</f>
        <v>11.781560682798725</v>
      </c>
      <c r="S186" s="92">
        <f t="shared" si="148"/>
        <v>72.953736654804274</v>
      </c>
      <c r="T186" s="93">
        <f t="shared" ref="T186:T196" si="156">(F186-F172)/D186</f>
        <v>5.6939501779359434</v>
      </c>
      <c r="V186" s="98" t="str">
        <f t="shared" ref="V186:V196" si="157">B186</f>
        <v>QC</v>
      </c>
      <c r="W186" s="100">
        <f t="shared" ref="W186:W196" si="158">C186/D186/180+IFERROR((D186*C186*5)/(F186*F186),400)</f>
        <v>14.304022278325849</v>
      </c>
      <c r="X186" s="103">
        <f t="shared" ref="X186:X196" si="159">L186/75000/K186*K$195</f>
        <v>1.415299585613251E-2</v>
      </c>
    </row>
    <row r="187" spans="2:24" x14ac:dyDescent="0.3">
      <c r="B187" s="5" t="s">
        <v>2</v>
      </c>
      <c r="C187" s="1">
        <v>1445</v>
      </c>
      <c r="D187" s="14">
        <v>5.0199999999999996</v>
      </c>
      <c r="E187" s="1">
        <v>905</v>
      </c>
      <c r="F187" s="1">
        <v>58</v>
      </c>
      <c r="G187" s="1">
        <v>53505</v>
      </c>
      <c r="H187" s="1">
        <f t="shared" si="149"/>
        <v>482</v>
      </c>
      <c r="I187" s="1"/>
      <c r="J187" s="1"/>
      <c r="K187" s="21">
        <f t="shared" si="146"/>
        <v>10658.366533864542</v>
      </c>
      <c r="L187" s="21">
        <f t="shared" si="147"/>
        <v>287.84860557768928</v>
      </c>
      <c r="M187" s="31">
        <f t="shared" si="150"/>
        <v>1.2605042016806723E-2</v>
      </c>
      <c r="N187" s="31">
        <f t="shared" si="151"/>
        <v>6.0228452751817235E-2</v>
      </c>
      <c r="O187" s="43">
        <f t="shared" si="152"/>
        <v>11.553784860557769</v>
      </c>
      <c r="P187" s="49">
        <f t="shared" si="153"/>
        <v>4.0138408304498267E-2</v>
      </c>
      <c r="Q187" s="47">
        <f t="shared" si="154"/>
        <v>96.01593625498009</v>
      </c>
      <c r="R187" s="66">
        <f t="shared" si="155"/>
        <v>111.00622406639005</v>
      </c>
      <c r="S187" s="92">
        <f t="shared" si="148"/>
        <v>6.9721115537848615</v>
      </c>
      <c r="T187" s="93">
        <f t="shared" si="156"/>
        <v>0.59760956175298807</v>
      </c>
      <c r="V187" s="98" t="str">
        <f t="shared" si="157"/>
        <v>BC</v>
      </c>
      <c r="W187" s="100">
        <f t="shared" si="158"/>
        <v>12.380817659471772</v>
      </c>
      <c r="X187" s="103">
        <f t="shared" si="159"/>
        <v>3.9060770816805751E-3</v>
      </c>
    </row>
    <row r="188" spans="2:24" x14ac:dyDescent="0.3">
      <c r="B188" s="5" t="s">
        <v>3</v>
      </c>
      <c r="C188" s="1">
        <v>1569</v>
      </c>
      <c r="D188" s="14">
        <v>4.34</v>
      </c>
      <c r="E188" s="1">
        <v>774</v>
      </c>
      <c r="F188" s="1">
        <v>39</v>
      </c>
      <c r="G188" s="1">
        <v>70247</v>
      </c>
      <c r="H188" s="1">
        <f t="shared" si="149"/>
        <v>756</v>
      </c>
      <c r="I188" s="1"/>
      <c r="J188" s="1"/>
      <c r="K188" s="21">
        <f t="shared" si="146"/>
        <v>16185.94470046083</v>
      </c>
      <c r="L188" s="21">
        <f t="shared" si="147"/>
        <v>361.52073732718895</v>
      </c>
      <c r="M188" s="31">
        <f t="shared" si="150"/>
        <v>1.06951871657754E-2</v>
      </c>
      <c r="N188" s="31">
        <f t="shared" si="151"/>
        <v>4.797047970479705E-2</v>
      </c>
      <c r="O188" s="43">
        <f t="shared" si="152"/>
        <v>8.9861751152073737</v>
      </c>
      <c r="P188" s="49">
        <f t="shared" si="153"/>
        <v>2.4856596558317401E-2</v>
      </c>
      <c r="Q188" s="47">
        <f t="shared" si="154"/>
        <v>174.19354838709677</v>
      </c>
      <c r="R188" s="66">
        <f t="shared" si="155"/>
        <v>92.919312169312164</v>
      </c>
      <c r="S188" s="92">
        <f t="shared" si="148"/>
        <v>15.898617511520738</v>
      </c>
      <c r="T188" s="93">
        <f t="shared" si="156"/>
        <v>0</v>
      </c>
      <c r="V188" s="98" t="str">
        <f t="shared" si="157"/>
        <v>AL</v>
      </c>
      <c r="W188" s="100">
        <f t="shared" si="158"/>
        <v>24.393261163980771</v>
      </c>
      <c r="X188" s="103">
        <f t="shared" si="159"/>
        <v>3.2304460491838979E-3</v>
      </c>
    </row>
    <row r="189" spans="2:24" x14ac:dyDescent="0.3">
      <c r="B189" s="5" t="s">
        <v>4</v>
      </c>
      <c r="C189" s="1">
        <v>243</v>
      </c>
      <c r="D189" s="14">
        <v>1.36</v>
      </c>
      <c r="E189" s="1">
        <v>96</v>
      </c>
      <c r="F189" s="1">
        <v>4</v>
      </c>
      <c r="G189" s="1">
        <v>16383</v>
      </c>
      <c r="H189" s="1">
        <f t="shared" si="149"/>
        <v>143</v>
      </c>
      <c r="I189" s="1"/>
      <c r="J189" s="1"/>
      <c r="K189" s="21">
        <f t="shared" si="146"/>
        <v>12046.323529411764</v>
      </c>
      <c r="L189" s="21">
        <f t="shared" si="147"/>
        <v>178.67647058823528</v>
      </c>
      <c r="M189" s="31">
        <f t="shared" si="150"/>
        <v>6.7164179104477612E-2</v>
      </c>
      <c r="N189" s="31">
        <f t="shared" si="151"/>
        <v>0.04</v>
      </c>
      <c r="O189" s="43">
        <f t="shared" si="152"/>
        <v>2.9411764705882351</v>
      </c>
      <c r="P189" s="49">
        <f t="shared" si="153"/>
        <v>1.646090534979424E-2</v>
      </c>
      <c r="Q189" s="47">
        <f t="shared" si="154"/>
        <v>105.14705882352941</v>
      </c>
      <c r="R189" s="66">
        <f t="shared" si="155"/>
        <v>114.56643356643356</v>
      </c>
      <c r="S189" s="92">
        <f t="shared" si="148"/>
        <v>9.5588235294117645</v>
      </c>
      <c r="T189" s="93">
        <f t="shared" si="156"/>
        <v>0</v>
      </c>
      <c r="V189" s="98" t="str">
        <f t="shared" si="157"/>
        <v>MA</v>
      </c>
      <c r="W189" s="100">
        <f t="shared" si="158"/>
        <v>104.26764705882354</v>
      </c>
      <c r="X189" s="103">
        <f t="shared" si="159"/>
        <v>2.1452611749854873E-3</v>
      </c>
    </row>
    <row r="190" spans="2:24" x14ac:dyDescent="0.3">
      <c r="B190" s="5" t="s">
        <v>5</v>
      </c>
      <c r="C190" s="1">
        <v>289</v>
      </c>
      <c r="D190" s="14">
        <v>1.17</v>
      </c>
      <c r="E190" s="1">
        <v>147</v>
      </c>
      <c r="F190" s="1">
        <v>4</v>
      </c>
      <c r="G190" s="1">
        <v>18448</v>
      </c>
      <c r="H190" s="1">
        <f t="shared" si="149"/>
        <v>138</v>
      </c>
      <c r="I190" s="1"/>
      <c r="J190" s="1"/>
      <c r="K190" s="21">
        <f t="shared" si="146"/>
        <v>15767.521367521369</v>
      </c>
      <c r="L190" s="21">
        <f t="shared" si="147"/>
        <v>247.00854700854703</v>
      </c>
      <c r="M190" s="31">
        <f t="shared" si="150"/>
        <v>-5.4794520547945202E-2</v>
      </c>
      <c r="N190" s="31">
        <f t="shared" si="151"/>
        <v>2.6490066225165563E-2</v>
      </c>
      <c r="O190" s="43">
        <f t="shared" si="152"/>
        <v>3.4188034188034191</v>
      </c>
      <c r="P190" s="49">
        <f t="shared" si="153"/>
        <v>1.384083044982699E-2</v>
      </c>
      <c r="Q190" s="47">
        <f t="shared" si="154"/>
        <v>117.94871794871796</v>
      </c>
      <c r="R190" s="66">
        <f t="shared" si="155"/>
        <v>133.68115942028984</v>
      </c>
      <c r="S190" s="92">
        <f t="shared" si="148"/>
        <v>3.4188034188034191</v>
      </c>
      <c r="T190" s="93">
        <f t="shared" si="156"/>
        <v>0.85470085470085477</v>
      </c>
      <c r="V190" s="98" t="str">
        <f t="shared" si="157"/>
        <v>SA</v>
      </c>
      <c r="W190" s="100">
        <f t="shared" si="158"/>
        <v>107.03789470560305</v>
      </c>
      <c r="X190" s="103">
        <f t="shared" si="159"/>
        <v>2.2657703193334684E-3</v>
      </c>
    </row>
    <row r="191" spans="2:24" x14ac:dyDescent="0.3">
      <c r="B191" s="5" t="s">
        <v>6</v>
      </c>
      <c r="C191" s="1">
        <v>428</v>
      </c>
      <c r="D191" s="14">
        <v>0.96499999999999997</v>
      </c>
      <c r="E191" s="1">
        <v>95</v>
      </c>
      <c r="F191" s="1">
        <v>2</v>
      </c>
      <c r="G191" s="1">
        <f>13632+C191</f>
        <v>14060</v>
      </c>
      <c r="H191" s="1">
        <f t="shared" si="149"/>
        <v>331</v>
      </c>
      <c r="I191" s="1"/>
      <c r="J191" s="1"/>
      <c r="K191" s="21">
        <f t="shared" si="146"/>
        <v>14569.948186528498</v>
      </c>
      <c r="L191" s="21">
        <f t="shared" si="147"/>
        <v>443.52331606217621</v>
      </c>
      <c r="M191" s="31">
        <f t="shared" si="150"/>
        <v>6.0897435897435896E-2</v>
      </c>
      <c r="N191" s="31">
        <f t="shared" si="151"/>
        <v>2.0618556701030927E-2</v>
      </c>
      <c r="O191" s="43">
        <f t="shared" si="152"/>
        <v>2.0725388601036272</v>
      </c>
      <c r="P191" s="49">
        <f t="shared" si="153"/>
        <v>4.6728971962616819E-3</v>
      </c>
      <c r="Q191" s="47">
        <f t="shared" si="154"/>
        <v>343.00518134715026</v>
      </c>
      <c r="R191" s="66">
        <f t="shared" si="155"/>
        <v>42.477341389728096</v>
      </c>
      <c r="S191" s="92">
        <f t="shared" si="148"/>
        <v>21.761658031088082</v>
      </c>
      <c r="T191" s="93">
        <f t="shared" si="156"/>
        <v>0</v>
      </c>
      <c r="V191" s="98" t="str">
        <f t="shared" si="157"/>
        <v>NS</v>
      </c>
      <c r="W191" s="100">
        <f t="shared" si="158"/>
        <v>518.7390184225676</v>
      </c>
      <c r="X191" s="103">
        <f t="shared" si="159"/>
        <v>4.4027677733724773E-3</v>
      </c>
    </row>
    <row r="192" spans="2:24" x14ac:dyDescent="0.3">
      <c r="B192" s="5" t="s">
        <v>7</v>
      </c>
      <c r="C192" s="1">
        <v>112</v>
      </c>
      <c r="D192" s="14">
        <v>0.77200000000000002</v>
      </c>
      <c r="E192" s="1">
        <v>70</v>
      </c>
      <c r="F192" s="1">
        <v>0</v>
      </c>
      <c r="G192" s="1">
        <v>6930</v>
      </c>
      <c r="H192" s="1">
        <f t="shared" si="149"/>
        <v>42</v>
      </c>
      <c r="I192" s="1"/>
      <c r="J192" s="1"/>
      <c r="K192" s="21">
        <f t="shared" si="146"/>
        <v>8976.6839378238346</v>
      </c>
      <c r="L192" s="21">
        <f t="shared" si="147"/>
        <v>145.07772020725389</v>
      </c>
      <c r="M192" s="31">
        <f t="shared" si="150"/>
        <v>-0.19230769230769232</v>
      </c>
      <c r="N192" s="31">
        <f t="shared" si="151"/>
        <v>0</v>
      </c>
      <c r="O192" s="43">
        <f t="shared" si="152"/>
        <v>0</v>
      </c>
      <c r="P192" s="49">
        <f t="shared" si="153"/>
        <v>0</v>
      </c>
      <c r="Q192" s="47">
        <f t="shared" si="154"/>
        <v>54.404145077720209</v>
      </c>
      <c r="R192" s="66">
        <f t="shared" si="155"/>
        <v>165</v>
      </c>
      <c r="S192" s="92">
        <f t="shared" si="148"/>
        <v>0</v>
      </c>
      <c r="T192" s="93">
        <f t="shared" si="156"/>
        <v>0</v>
      </c>
      <c r="V192" s="98" t="str">
        <f t="shared" si="157"/>
        <v>NB</v>
      </c>
      <c r="W192" s="100">
        <f t="shared" si="158"/>
        <v>400.80598733448477</v>
      </c>
      <c r="X192" s="103">
        <f t="shared" si="159"/>
        <v>2.3375026864388567E-3</v>
      </c>
    </row>
    <row r="193" spans="2:24" x14ac:dyDescent="0.3">
      <c r="B193" s="5" t="s">
        <v>18</v>
      </c>
      <c r="C193" s="9">
        <v>25</v>
      </c>
      <c r="D193" s="15">
        <v>0.154</v>
      </c>
      <c r="E193" s="9">
        <v>17</v>
      </c>
      <c r="F193" s="9">
        <v>0</v>
      </c>
      <c r="G193" s="9">
        <v>1630</v>
      </c>
      <c r="H193" s="1">
        <f t="shared" si="149"/>
        <v>8</v>
      </c>
      <c r="I193" s="9"/>
      <c r="J193" s="9"/>
      <c r="K193" s="22">
        <f t="shared" si="146"/>
        <v>10584.415584415585</v>
      </c>
      <c r="L193" s="22">
        <f t="shared" si="147"/>
        <v>162.33766233766235</v>
      </c>
      <c r="M193" s="31">
        <f t="shared" si="150"/>
        <v>0</v>
      </c>
      <c r="N193" s="31">
        <f t="shared" si="151"/>
        <v>0</v>
      </c>
      <c r="O193" s="44">
        <f t="shared" si="152"/>
        <v>0</v>
      </c>
      <c r="P193" s="49">
        <f t="shared" si="153"/>
        <v>0</v>
      </c>
      <c r="Q193" s="47">
        <f t="shared" si="154"/>
        <v>51.948051948051948</v>
      </c>
      <c r="R193" s="66">
        <f t="shared" si="155"/>
        <v>203.75</v>
      </c>
      <c r="S193" s="92">
        <f t="shared" si="148"/>
        <v>0</v>
      </c>
      <c r="T193" s="93">
        <f t="shared" si="156"/>
        <v>0</v>
      </c>
      <c r="V193" s="98" t="str">
        <f t="shared" si="157"/>
        <v>PEI</v>
      </c>
      <c r="W193" s="100">
        <f t="shared" si="158"/>
        <v>400.90187590187588</v>
      </c>
      <c r="X193" s="103">
        <f t="shared" si="159"/>
        <v>2.2182972196841144E-3</v>
      </c>
    </row>
    <row r="194" spans="2:24" ht="15" thickBot="1" x14ac:dyDescent="0.35">
      <c r="B194" s="5" t="s">
        <v>11</v>
      </c>
      <c r="C194" s="9">
        <v>241</v>
      </c>
      <c r="D194" s="15">
        <v>0.52400000000000002</v>
      </c>
      <c r="E194" s="9">
        <v>120</v>
      </c>
      <c r="F194" s="9">
        <v>2</v>
      </c>
      <c r="G194" s="9">
        <v>4726</v>
      </c>
      <c r="H194" s="9">
        <f t="shared" si="149"/>
        <v>119</v>
      </c>
      <c r="I194" s="9"/>
      <c r="J194" s="9"/>
      <c r="K194" s="22">
        <f t="shared" si="146"/>
        <v>9019.0839694656479</v>
      </c>
      <c r="L194" s="22">
        <f t="shared" si="147"/>
        <v>459.92366412213738</v>
      </c>
      <c r="M194" s="31">
        <f t="shared" si="150"/>
        <v>-0.11194029850746269</v>
      </c>
      <c r="N194" s="32">
        <f t="shared" si="151"/>
        <v>1.6393442622950821E-2</v>
      </c>
      <c r="O194" s="44">
        <f t="shared" si="152"/>
        <v>3.8167938931297707</v>
      </c>
      <c r="P194" s="50">
        <f t="shared" si="153"/>
        <v>8.2987551867219917E-3</v>
      </c>
      <c r="Q194" s="48">
        <f t="shared" si="154"/>
        <v>227.09923664122135</v>
      </c>
      <c r="R194" s="67">
        <f t="shared" si="155"/>
        <v>39.714285714285715</v>
      </c>
      <c r="S194" s="92">
        <f t="shared" si="148"/>
        <v>3.8167938931297707</v>
      </c>
      <c r="T194" s="93">
        <f t="shared" si="156"/>
        <v>0</v>
      </c>
      <c r="V194" s="99" t="str">
        <f t="shared" si="157"/>
        <v>NFLD</v>
      </c>
      <c r="W194" s="107">
        <f t="shared" si="158"/>
        <v>160.41013146734522</v>
      </c>
      <c r="X194" s="103">
        <f t="shared" si="159"/>
        <v>7.3754862192848972E-3</v>
      </c>
    </row>
    <row r="195" spans="2:24" ht="15" thickBot="1" x14ac:dyDescent="0.35">
      <c r="B195" s="11" t="s">
        <v>10</v>
      </c>
      <c r="C195" s="12">
        <v>23318</v>
      </c>
      <c r="D195" s="16">
        <v>37.6</v>
      </c>
      <c r="E195" s="12">
        <v>6428</v>
      </c>
      <c r="F195" s="12">
        <v>653</v>
      </c>
      <c r="G195" s="12">
        <f>SUM(G185:G194)</f>
        <v>407865</v>
      </c>
      <c r="H195" s="81">
        <f t="shared" si="149"/>
        <v>16237</v>
      </c>
      <c r="I195" s="111"/>
      <c r="J195" s="111"/>
      <c r="K195" s="77">
        <f t="shared" si="146"/>
        <v>10847.473404255319</v>
      </c>
      <c r="L195" s="23">
        <f t="shared" si="147"/>
        <v>620.15957446808511</v>
      </c>
      <c r="M195" s="31">
        <f t="shared" si="150"/>
        <v>4.3106771167930102E-2</v>
      </c>
      <c r="N195" s="33">
        <f t="shared" si="151"/>
        <v>9.2218613190227366E-2</v>
      </c>
      <c r="O195" s="45">
        <f>F195/D195</f>
        <v>17.367021276595743</v>
      </c>
      <c r="P195" s="53">
        <f t="shared" si="153"/>
        <v>2.8004116991165624E-2</v>
      </c>
      <c r="Q195" s="55">
        <f t="shared" si="154"/>
        <v>431.83510638297872</v>
      </c>
      <c r="R195" s="74">
        <f t="shared" si="155"/>
        <v>25.119480199544252</v>
      </c>
      <c r="S195" s="92">
        <f t="shared" si="148"/>
        <v>31.117021276595743</v>
      </c>
      <c r="T195" s="93">
        <f t="shared" si="156"/>
        <v>2.2340425531914891</v>
      </c>
      <c r="V195" s="108" t="str">
        <f t="shared" si="157"/>
        <v>Canada</v>
      </c>
      <c r="W195" s="109">
        <f t="shared" si="158"/>
        <v>13.726033299658853</v>
      </c>
      <c r="X195" s="103">
        <f t="shared" si="159"/>
        <v>8.2687943262411343E-3</v>
      </c>
    </row>
    <row r="196" spans="2:24" ht="15" thickBot="1" x14ac:dyDescent="0.35">
      <c r="B196" s="6" t="s">
        <v>9</v>
      </c>
      <c r="C196" s="7">
        <v>523199</v>
      </c>
      <c r="D196" s="7">
        <v>327</v>
      </c>
      <c r="E196" s="7">
        <v>28142</v>
      </c>
      <c r="F196" s="7">
        <v>20339</v>
      </c>
      <c r="G196" s="7">
        <v>2666022</v>
      </c>
      <c r="H196" s="82">
        <f t="shared" si="149"/>
        <v>474718</v>
      </c>
      <c r="I196" s="112"/>
      <c r="J196" s="112"/>
      <c r="K196" s="78">
        <f t="shared" si="146"/>
        <v>8152.9724770642206</v>
      </c>
      <c r="L196" s="24">
        <f t="shared" si="147"/>
        <v>1599.9969418960245</v>
      </c>
      <c r="M196" s="31">
        <f t="shared" si="150"/>
        <v>6.4371042671880319E-2</v>
      </c>
      <c r="N196" s="33">
        <f t="shared" si="151"/>
        <v>0.41952517481075058</v>
      </c>
      <c r="O196" s="46">
        <f>F196/D196</f>
        <v>62.198776758409785</v>
      </c>
      <c r="P196" s="52">
        <f t="shared" si="153"/>
        <v>3.887430977505691E-2</v>
      </c>
      <c r="Q196" s="54">
        <f t="shared" si="154"/>
        <v>1451.7370030581039</v>
      </c>
      <c r="R196" s="72">
        <f t="shared" si="155"/>
        <v>5.6160120324066076</v>
      </c>
      <c r="S196" s="92">
        <f t="shared" si="148"/>
        <v>97.9908256880734</v>
      </c>
      <c r="T196" s="93">
        <f t="shared" si="156"/>
        <v>6.0366972477064218</v>
      </c>
      <c r="V196" s="108" t="str">
        <f t="shared" si="157"/>
        <v>USA</v>
      </c>
      <c r="W196" s="109">
        <f t="shared" si="158"/>
        <v>10.956752550567755</v>
      </c>
      <c r="X196" s="103">
        <f t="shared" si="159"/>
        <v>2.8383797971324461E-2</v>
      </c>
    </row>
    <row r="197" spans="2:24" ht="15" thickBot="1" x14ac:dyDescent="0.35"/>
    <row r="198" spans="2:24" ht="28.8" x14ac:dyDescent="0.3">
      <c r="B198" s="17">
        <v>41365</v>
      </c>
      <c r="C198" s="18" t="s">
        <v>8</v>
      </c>
      <c r="D198" s="19" t="s">
        <v>17</v>
      </c>
      <c r="E198" s="19" t="s">
        <v>15</v>
      </c>
      <c r="F198" s="19" t="s">
        <v>16</v>
      </c>
      <c r="G198" s="19" t="s">
        <v>14</v>
      </c>
      <c r="H198" s="19" t="s">
        <v>38</v>
      </c>
      <c r="I198" s="19"/>
      <c r="J198" s="19"/>
      <c r="K198" s="19" t="s">
        <v>21</v>
      </c>
      <c r="L198" s="19" t="s">
        <v>20</v>
      </c>
      <c r="M198" s="19" t="s">
        <v>40</v>
      </c>
      <c r="N198" s="19" t="s">
        <v>32</v>
      </c>
      <c r="O198" s="19" t="s">
        <v>22</v>
      </c>
      <c r="P198" s="51" t="s">
        <v>34</v>
      </c>
      <c r="Q198" s="20" t="s">
        <v>35</v>
      </c>
      <c r="R198" s="63" t="s">
        <v>39</v>
      </c>
      <c r="S198" s="91" t="s">
        <v>43</v>
      </c>
      <c r="T198" s="91" t="s">
        <v>44</v>
      </c>
    </row>
    <row r="199" spans="2:24" x14ac:dyDescent="0.3">
      <c r="B199" s="3" t="s">
        <v>0</v>
      </c>
      <c r="C199" s="1">
        <v>7470</v>
      </c>
      <c r="D199" s="14">
        <v>14.45</v>
      </c>
      <c r="E199" s="1">
        <v>3357</v>
      </c>
      <c r="F199" s="1">
        <v>291</v>
      </c>
      <c r="G199" s="1">
        <v>108230</v>
      </c>
      <c r="H199" s="1">
        <f>C199-E199-F199</f>
        <v>3822</v>
      </c>
      <c r="I199" s="1"/>
      <c r="J199" s="1"/>
      <c r="K199" s="21">
        <f t="shared" ref="K199:K210" si="160">G199/D199</f>
        <v>7489.9653979238756</v>
      </c>
      <c r="L199" s="21">
        <f t="shared" ref="L199:L210" si="161">C199/D199</f>
        <v>516.95501730103808</v>
      </c>
      <c r="M199" s="31">
        <f>(H199-H185)/H185</f>
        <v>8.0576759966072942E-2</v>
      </c>
      <c r="N199" s="31">
        <f>F199/(E199+F199)</f>
        <v>7.9769736842105268E-2</v>
      </c>
      <c r="O199" s="43">
        <f>F199/D199</f>
        <v>20.13840830449827</v>
      </c>
      <c r="P199" s="49">
        <f>F199/C199</f>
        <v>3.8955823293172688E-2</v>
      </c>
      <c r="Q199" s="47">
        <f>(C199-E199-F199)/D199</f>
        <v>264.49826989619379</v>
      </c>
      <c r="R199" s="66">
        <f>G199/H199</f>
        <v>28.317634746206174</v>
      </c>
      <c r="S199" s="92">
        <f>(C199-C185)/D199/2</f>
        <v>28.442906574394463</v>
      </c>
      <c r="T199" s="93">
        <f>(F199-F185)/D199/2</f>
        <v>1.3148788927335642</v>
      </c>
    </row>
    <row r="200" spans="2:24" x14ac:dyDescent="0.3">
      <c r="B200" s="5" t="s">
        <v>1</v>
      </c>
      <c r="C200" s="1">
        <v>13557</v>
      </c>
      <c r="D200" s="14">
        <v>8.43</v>
      </c>
      <c r="E200" s="1">
        <v>1982</v>
      </c>
      <c r="F200" s="1">
        <v>360</v>
      </c>
      <c r="G200" s="1">
        <v>134215</v>
      </c>
      <c r="H200" s="1">
        <f t="shared" ref="H200:H210" si="162">C200-E200-F200</f>
        <v>11215</v>
      </c>
      <c r="I200" s="1"/>
      <c r="J200" s="1"/>
      <c r="K200" s="21">
        <f t="shared" si="160"/>
        <v>15921.115065243179</v>
      </c>
      <c r="L200" s="21">
        <f t="shared" si="161"/>
        <v>1608.1850533807831</v>
      </c>
      <c r="M200" s="31">
        <f t="shared" ref="M200:M210" si="163">(H200-H186)/H186</f>
        <v>5.1866441568186081E-2</v>
      </c>
      <c r="N200" s="31">
        <f t="shared" ref="N200:N210" si="164">F200/(E200+F200)</f>
        <v>0.15371477369769429</v>
      </c>
      <c r="O200" s="43">
        <f t="shared" ref="O200:O208" si="165">F200/D200</f>
        <v>42.704626334519574</v>
      </c>
      <c r="P200" s="49">
        <f t="shared" ref="P200:P210" si="166">F200/C200</f>
        <v>2.6554547466253596E-2</v>
      </c>
      <c r="Q200" s="47">
        <f t="shared" ref="Q200:Q210" si="167">(C200-E200-F200)/D200</f>
        <v>1330.367734282325</v>
      </c>
      <c r="R200" s="66">
        <f t="shared" ref="R200:R210" si="168">G200/H200</f>
        <v>11.96745430227374</v>
      </c>
      <c r="S200" s="92">
        <f t="shared" ref="S200:S210" si="169">(C200-C186)/D200/2</f>
        <v>75.029655990510079</v>
      </c>
      <c r="T200" s="93">
        <f t="shared" ref="T200:T210" si="170">(F200-F186)/D200/2</f>
        <v>4.2111506524317912</v>
      </c>
    </row>
    <row r="201" spans="2:24" x14ac:dyDescent="0.3">
      <c r="B201" s="5" t="s">
        <v>2</v>
      </c>
      <c r="C201" s="1">
        <v>1490</v>
      </c>
      <c r="D201" s="14">
        <v>5.0199999999999996</v>
      </c>
      <c r="E201" s="1">
        <v>926</v>
      </c>
      <c r="F201" s="1">
        <v>69</v>
      </c>
      <c r="G201" s="1">
        <v>56142</v>
      </c>
      <c r="H201" s="1">
        <f t="shared" si="162"/>
        <v>495</v>
      </c>
      <c r="I201" s="1"/>
      <c r="J201" s="1"/>
      <c r="K201" s="21">
        <f t="shared" si="160"/>
        <v>11183.66533864542</v>
      </c>
      <c r="L201" s="21">
        <f t="shared" si="161"/>
        <v>296.81274900398409</v>
      </c>
      <c r="M201" s="31">
        <f t="shared" si="163"/>
        <v>2.6970954356846474E-2</v>
      </c>
      <c r="N201" s="31">
        <f t="shared" si="164"/>
        <v>6.9346733668341709E-2</v>
      </c>
      <c r="O201" s="43">
        <f t="shared" si="165"/>
        <v>13.745019920318727</v>
      </c>
      <c r="P201" s="49">
        <f t="shared" si="166"/>
        <v>4.6308724832214765E-2</v>
      </c>
      <c r="Q201" s="47">
        <f t="shared" si="167"/>
        <v>98.605577689243034</v>
      </c>
      <c r="R201" s="66">
        <f t="shared" si="168"/>
        <v>113.41818181818182</v>
      </c>
      <c r="S201" s="92">
        <f t="shared" si="169"/>
        <v>4.4820717131474108</v>
      </c>
      <c r="T201" s="93">
        <f t="shared" si="170"/>
        <v>1.0956175298804782</v>
      </c>
    </row>
    <row r="202" spans="2:24" x14ac:dyDescent="0.3">
      <c r="B202" s="5" t="s">
        <v>3</v>
      </c>
      <c r="C202" s="1">
        <v>1732</v>
      </c>
      <c r="D202" s="14">
        <v>4.34</v>
      </c>
      <c r="E202" s="1">
        <v>877</v>
      </c>
      <c r="F202" s="1">
        <v>46</v>
      </c>
      <c r="G202" s="1">
        <v>79781</v>
      </c>
      <c r="H202" s="1">
        <f t="shared" si="162"/>
        <v>809</v>
      </c>
      <c r="I202" s="1"/>
      <c r="J202" s="1"/>
      <c r="K202" s="21">
        <f t="shared" si="160"/>
        <v>18382.718894009216</v>
      </c>
      <c r="L202" s="21">
        <f t="shared" si="161"/>
        <v>399.07834101382491</v>
      </c>
      <c r="M202" s="31">
        <f t="shared" si="163"/>
        <v>7.0105820105820102E-2</v>
      </c>
      <c r="N202" s="31">
        <f t="shared" si="164"/>
        <v>4.9837486457204767E-2</v>
      </c>
      <c r="O202" s="43">
        <f t="shared" si="165"/>
        <v>10.599078341013826</v>
      </c>
      <c r="P202" s="49">
        <f t="shared" si="166"/>
        <v>2.6558891454965358E-2</v>
      </c>
      <c r="Q202" s="47">
        <f t="shared" si="167"/>
        <v>186.40552995391707</v>
      </c>
      <c r="R202" s="66">
        <f t="shared" si="168"/>
        <v>98.616810877626705</v>
      </c>
      <c r="S202" s="92">
        <f t="shared" si="169"/>
        <v>18.778801843317972</v>
      </c>
      <c r="T202" s="93">
        <f t="shared" si="170"/>
        <v>0.80645161290322587</v>
      </c>
    </row>
    <row r="203" spans="2:24" x14ac:dyDescent="0.3">
      <c r="B203" s="5" t="s">
        <v>4</v>
      </c>
      <c r="C203" s="1">
        <v>246</v>
      </c>
      <c r="D203" s="14">
        <v>1.36</v>
      </c>
      <c r="E203" s="1">
        <v>99</v>
      </c>
      <c r="F203" s="1">
        <v>4</v>
      </c>
      <c r="G203" s="1">
        <v>17245</v>
      </c>
      <c r="H203" s="1">
        <f t="shared" si="162"/>
        <v>143</v>
      </c>
      <c r="I203" s="1"/>
      <c r="J203" s="1"/>
      <c r="K203" s="21">
        <f t="shared" si="160"/>
        <v>12680.147058823528</v>
      </c>
      <c r="L203" s="21">
        <f t="shared" si="161"/>
        <v>180.88235294117646</v>
      </c>
      <c r="M203" s="31">
        <f t="shared" si="163"/>
        <v>0</v>
      </c>
      <c r="N203" s="31">
        <f t="shared" si="164"/>
        <v>3.8834951456310676E-2</v>
      </c>
      <c r="O203" s="43">
        <f t="shared" si="165"/>
        <v>2.9411764705882351</v>
      </c>
      <c r="P203" s="49">
        <f t="shared" si="166"/>
        <v>1.6260162601626018E-2</v>
      </c>
      <c r="Q203" s="47">
        <f t="shared" si="167"/>
        <v>105.14705882352941</v>
      </c>
      <c r="R203" s="66">
        <f t="shared" si="168"/>
        <v>120.5944055944056</v>
      </c>
      <c r="S203" s="92">
        <f t="shared" si="169"/>
        <v>1.1029411764705881</v>
      </c>
      <c r="T203" s="93">
        <f t="shared" si="170"/>
        <v>0</v>
      </c>
    </row>
    <row r="204" spans="2:24" x14ac:dyDescent="0.3">
      <c r="B204" s="5" t="s">
        <v>5</v>
      </c>
      <c r="C204" s="1">
        <v>300</v>
      </c>
      <c r="D204" s="14">
        <v>1.17</v>
      </c>
      <c r="E204" s="1">
        <v>178</v>
      </c>
      <c r="F204" s="1">
        <v>4</v>
      </c>
      <c r="G204" s="1">
        <v>19604</v>
      </c>
      <c r="H204" s="1">
        <f t="shared" si="162"/>
        <v>118</v>
      </c>
      <c r="I204" s="1"/>
      <c r="J204" s="1"/>
      <c r="K204" s="21">
        <f t="shared" si="160"/>
        <v>16755.555555555558</v>
      </c>
      <c r="L204" s="21">
        <f t="shared" si="161"/>
        <v>256.41025641025641</v>
      </c>
      <c r="M204" s="31">
        <f t="shared" si="163"/>
        <v>-0.14492753623188406</v>
      </c>
      <c r="N204" s="31">
        <f t="shared" si="164"/>
        <v>2.197802197802198E-2</v>
      </c>
      <c r="O204" s="43">
        <f t="shared" si="165"/>
        <v>3.4188034188034191</v>
      </c>
      <c r="P204" s="49">
        <f t="shared" si="166"/>
        <v>1.3333333333333334E-2</v>
      </c>
      <c r="Q204" s="47">
        <f t="shared" si="167"/>
        <v>100.85470085470087</v>
      </c>
      <c r="R204" s="66">
        <f t="shared" si="168"/>
        <v>166.13559322033899</v>
      </c>
      <c r="S204" s="92">
        <f t="shared" si="169"/>
        <v>4.700854700854701</v>
      </c>
      <c r="T204" s="93">
        <f t="shared" si="170"/>
        <v>0</v>
      </c>
    </row>
    <row r="205" spans="2:24" x14ac:dyDescent="0.3">
      <c r="B205" s="5" t="s">
        <v>6</v>
      </c>
      <c r="C205" s="1">
        <v>474</v>
      </c>
      <c r="D205" s="14">
        <v>0.96499999999999997</v>
      </c>
      <c r="E205" s="1">
        <v>101</v>
      </c>
      <c r="F205" s="1">
        <v>3</v>
      </c>
      <c r="G205" s="1">
        <v>15580</v>
      </c>
      <c r="H205" s="1">
        <f t="shared" si="162"/>
        <v>370</v>
      </c>
      <c r="I205" s="1"/>
      <c r="J205" s="1"/>
      <c r="K205" s="21">
        <f t="shared" si="160"/>
        <v>16145.077720207255</v>
      </c>
      <c r="L205" s="21">
        <f t="shared" si="161"/>
        <v>491.19170984455963</v>
      </c>
      <c r="M205" s="31">
        <f t="shared" si="163"/>
        <v>0.11782477341389729</v>
      </c>
      <c r="N205" s="31">
        <f t="shared" si="164"/>
        <v>2.8846153846153848E-2</v>
      </c>
      <c r="O205" s="43">
        <f t="shared" si="165"/>
        <v>3.1088082901554404</v>
      </c>
      <c r="P205" s="49">
        <f t="shared" si="166"/>
        <v>6.3291139240506328E-3</v>
      </c>
      <c r="Q205" s="47">
        <f t="shared" si="167"/>
        <v>383.41968911917098</v>
      </c>
      <c r="R205" s="66">
        <f t="shared" si="168"/>
        <v>42.108108108108105</v>
      </c>
      <c r="S205" s="92">
        <f t="shared" si="169"/>
        <v>23.834196891191709</v>
      </c>
      <c r="T205" s="93">
        <f t="shared" si="170"/>
        <v>0.5181347150259068</v>
      </c>
    </row>
    <row r="206" spans="2:24" x14ac:dyDescent="0.3">
      <c r="B206" s="5" t="s">
        <v>7</v>
      </c>
      <c r="C206" s="1">
        <v>116</v>
      </c>
      <c r="D206" s="14">
        <v>0.77200000000000002</v>
      </c>
      <c r="E206" s="1">
        <v>74</v>
      </c>
      <c r="F206" s="1">
        <v>0</v>
      </c>
      <c r="G206" s="1">
        <v>8199</v>
      </c>
      <c r="H206" s="1">
        <f t="shared" si="162"/>
        <v>42</v>
      </c>
      <c r="I206" s="1"/>
      <c r="J206" s="1"/>
      <c r="K206" s="21">
        <f t="shared" si="160"/>
        <v>10620.466321243523</v>
      </c>
      <c r="L206" s="21">
        <f t="shared" si="161"/>
        <v>150.25906735751295</v>
      </c>
      <c r="M206" s="31">
        <f t="shared" si="163"/>
        <v>0</v>
      </c>
      <c r="N206" s="31">
        <f t="shared" si="164"/>
        <v>0</v>
      </c>
      <c r="O206" s="43">
        <f t="shared" si="165"/>
        <v>0</v>
      </c>
      <c r="P206" s="49">
        <f t="shared" si="166"/>
        <v>0</v>
      </c>
      <c r="Q206" s="47">
        <f t="shared" si="167"/>
        <v>54.404145077720209</v>
      </c>
      <c r="R206" s="66">
        <f t="shared" si="168"/>
        <v>195.21428571428572</v>
      </c>
      <c r="S206" s="92">
        <f t="shared" si="169"/>
        <v>2.5906735751295336</v>
      </c>
      <c r="T206" s="93">
        <f t="shared" si="170"/>
        <v>0</v>
      </c>
    </row>
    <row r="207" spans="2:24" x14ac:dyDescent="0.3">
      <c r="B207" s="5" t="s">
        <v>18</v>
      </c>
      <c r="C207" s="9">
        <v>25</v>
      </c>
      <c r="D207" s="15">
        <v>0.154</v>
      </c>
      <c r="E207" s="9">
        <v>23</v>
      </c>
      <c r="F207" s="9">
        <v>0</v>
      </c>
      <c r="G207" s="9">
        <v>1912</v>
      </c>
      <c r="H207" s="1">
        <f t="shared" si="162"/>
        <v>2</v>
      </c>
      <c r="I207" s="9"/>
      <c r="J207" s="9"/>
      <c r="K207" s="22">
        <f t="shared" si="160"/>
        <v>12415.584415584415</v>
      </c>
      <c r="L207" s="22">
        <f t="shared" si="161"/>
        <v>162.33766233766235</v>
      </c>
      <c r="M207" s="31">
        <f t="shared" si="163"/>
        <v>-0.75</v>
      </c>
      <c r="N207" s="31">
        <f t="shared" si="164"/>
        <v>0</v>
      </c>
      <c r="O207" s="44">
        <f t="shared" si="165"/>
        <v>0</v>
      </c>
      <c r="P207" s="49">
        <f t="shared" si="166"/>
        <v>0</v>
      </c>
      <c r="Q207" s="47">
        <f t="shared" si="167"/>
        <v>12.987012987012987</v>
      </c>
      <c r="R207" s="66">
        <f t="shared" si="168"/>
        <v>956</v>
      </c>
      <c r="S207" s="92">
        <f t="shared" si="169"/>
        <v>0</v>
      </c>
      <c r="T207" s="93">
        <f t="shared" si="170"/>
        <v>0</v>
      </c>
    </row>
    <row r="208" spans="2:24" ht="15" thickBot="1" x14ac:dyDescent="0.35">
      <c r="B208" s="5" t="s">
        <v>11</v>
      </c>
      <c r="C208" s="9">
        <v>241</v>
      </c>
      <c r="D208" s="15">
        <v>0.52400000000000002</v>
      </c>
      <c r="E208" s="9">
        <v>120</v>
      </c>
      <c r="F208" s="9">
        <v>2</v>
      </c>
      <c r="G208" s="9">
        <v>4726</v>
      </c>
      <c r="H208" s="9">
        <f t="shared" si="162"/>
        <v>119</v>
      </c>
      <c r="I208" s="9"/>
      <c r="J208" s="9"/>
      <c r="K208" s="22">
        <f t="shared" si="160"/>
        <v>9019.0839694656479</v>
      </c>
      <c r="L208" s="22">
        <f t="shared" si="161"/>
        <v>459.92366412213738</v>
      </c>
      <c r="M208" s="32">
        <f t="shared" si="163"/>
        <v>0</v>
      </c>
      <c r="N208" s="32">
        <f t="shared" si="164"/>
        <v>1.6393442622950821E-2</v>
      </c>
      <c r="O208" s="44">
        <f t="shared" si="165"/>
        <v>3.8167938931297707</v>
      </c>
      <c r="P208" s="50">
        <f t="shared" si="166"/>
        <v>8.2987551867219917E-3</v>
      </c>
      <c r="Q208" s="48">
        <f t="shared" si="167"/>
        <v>227.09923664122135</v>
      </c>
      <c r="R208" s="67">
        <f t="shared" si="168"/>
        <v>39.714285714285715</v>
      </c>
      <c r="S208" s="92">
        <f t="shared" si="169"/>
        <v>0</v>
      </c>
      <c r="T208" s="93">
        <f t="shared" si="170"/>
        <v>0</v>
      </c>
    </row>
    <row r="209" spans="2:20" ht="15" thickBot="1" x14ac:dyDescent="0.35">
      <c r="B209" s="11" t="s">
        <v>10</v>
      </c>
      <c r="C209" s="12">
        <v>25680</v>
      </c>
      <c r="D209" s="16">
        <v>37.6</v>
      </c>
      <c r="E209" s="12">
        <v>7756</v>
      </c>
      <c r="F209" s="12">
        <v>780</v>
      </c>
      <c r="G209" s="12">
        <f>SUM(G199:G208)</f>
        <v>445634</v>
      </c>
      <c r="H209" s="81">
        <f t="shared" si="162"/>
        <v>17144</v>
      </c>
      <c r="I209" s="111"/>
      <c r="J209" s="111"/>
      <c r="K209" s="77">
        <f t="shared" si="160"/>
        <v>11851.968085106382</v>
      </c>
      <c r="L209" s="85">
        <f t="shared" si="161"/>
        <v>682.97872340425533</v>
      </c>
      <c r="M209" s="33">
        <f t="shared" si="163"/>
        <v>5.5860072673523435E-2</v>
      </c>
      <c r="N209" s="86">
        <f t="shared" si="164"/>
        <v>9.1377694470477971E-2</v>
      </c>
      <c r="O209" s="45">
        <f>F209/D209</f>
        <v>20.74468085106383</v>
      </c>
      <c r="P209" s="53">
        <f t="shared" si="166"/>
        <v>3.0373831775700934E-2</v>
      </c>
      <c r="Q209" s="55">
        <f t="shared" si="167"/>
        <v>455.95744680851061</v>
      </c>
      <c r="R209" s="74">
        <f t="shared" si="168"/>
        <v>25.993583761082593</v>
      </c>
      <c r="S209" s="92">
        <f t="shared" si="169"/>
        <v>31.409574468085104</v>
      </c>
      <c r="T209" s="93">
        <f t="shared" si="170"/>
        <v>1.6888297872340425</v>
      </c>
    </row>
    <row r="210" spans="2:20" ht="15" thickBot="1" x14ac:dyDescent="0.35">
      <c r="B210" s="6" t="s">
        <v>9</v>
      </c>
      <c r="C210" s="7">
        <v>576774</v>
      </c>
      <c r="D210" s="7">
        <v>327</v>
      </c>
      <c r="E210" s="7">
        <v>34634</v>
      </c>
      <c r="F210" s="7">
        <v>23369</v>
      </c>
      <c r="G210" s="7">
        <v>2935006</v>
      </c>
      <c r="H210" s="82">
        <f t="shared" si="162"/>
        <v>518771</v>
      </c>
      <c r="I210" s="112"/>
      <c r="J210" s="112"/>
      <c r="K210" s="78">
        <f t="shared" si="160"/>
        <v>8975.5535168195711</v>
      </c>
      <c r="L210" s="87">
        <f t="shared" si="161"/>
        <v>1763.834862385321</v>
      </c>
      <c r="M210" s="33">
        <f t="shared" si="163"/>
        <v>9.2798250750972158E-2</v>
      </c>
      <c r="N210" s="86">
        <f t="shared" si="164"/>
        <v>0.40289295381273382</v>
      </c>
      <c r="O210" s="46">
        <f>F210/D210</f>
        <v>71.464831804281346</v>
      </c>
      <c r="P210" s="52">
        <f t="shared" si="166"/>
        <v>4.0516736191298496E-2</v>
      </c>
      <c r="Q210" s="54">
        <f t="shared" si="167"/>
        <v>1586.4556574923547</v>
      </c>
      <c r="R210" s="72">
        <f t="shared" si="168"/>
        <v>5.65761386045095</v>
      </c>
      <c r="S210" s="92">
        <f t="shared" si="169"/>
        <v>81.918960244648318</v>
      </c>
      <c r="T210" s="93">
        <f t="shared" si="170"/>
        <v>4.6330275229357802</v>
      </c>
    </row>
    <row r="211" spans="2:20" ht="15" thickBot="1" x14ac:dyDescent="0.35"/>
    <row r="212" spans="2:20" ht="28.8" x14ac:dyDescent="0.3">
      <c r="B212" s="17">
        <v>41730</v>
      </c>
      <c r="C212" s="18" t="s">
        <v>8</v>
      </c>
      <c r="D212" s="19" t="s">
        <v>17</v>
      </c>
      <c r="E212" s="19" t="s">
        <v>15</v>
      </c>
      <c r="F212" s="19" t="s">
        <v>16</v>
      </c>
      <c r="G212" s="19" t="s">
        <v>14</v>
      </c>
      <c r="H212" s="19" t="s">
        <v>38</v>
      </c>
      <c r="I212" s="19"/>
      <c r="J212" s="19"/>
      <c r="K212" s="19" t="s">
        <v>21</v>
      </c>
      <c r="L212" s="19" t="s">
        <v>20</v>
      </c>
      <c r="M212" s="19" t="s">
        <v>40</v>
      </c>
      <c r="N212" s="19" t="s">
        <v>32</v>
      </c>
      <c r="O212" s="19" t="s">
        <v>22</v>
      </c>
      <c r="P212" s="51" t="s">
        <v>34</v>
      </c>
      <c r="Q212" s="20" t="s">
        <v>35</v>
      </c>
      <c r="R212" s="63" t="s">
        <v>39</v>
      </c>
      <c r="S212" s="91" t="s">
        <v>43</v>
      </c>
      <c r="T212" s="91" t="s">
        <v>44</v>
      </c>
    </row>
    <row r="213" spans="2:20" x14ac:dyDescent="0.3">
      <c r="B213" s="3" t="s">
        <v>0</v>
      </c>
      <c r="C213" s="1">
        <v>7953</v>
      </c>
      <c r="D213" s="14">
        <v>14.45</v>
      </c>
      <c r="E213" s="1">
        <v>3568</v>
      </c>
      <c r="F213" s="1">
        <v>334</v>
      </c>
      <c r="G213" s="1">
        <v>113082</v>
      </c>
      <c r="H213" s="1">
        <f>C213-E213-F213</f>
        <v>4051</v>
      </c>
      <c r="I213" s="1"/>
      <c r="J213" s="1"/>
      <c r="K213" s="21">
        <f t="shared" ref="K213:K224" si="171">G213/D213</f>
        <v>7825.7439446366789</v>
      </c>
      <c r="L213" s="21">
        <f t="shared" ref="L213:L224" si="172">C213/D213</f>
        <v>550.38062283737031</v>
      </c>
      <c r="M213" s="31">
        <f>(H213-H199)/H199</f>
        <v>5.9916274201988487E-2</v>
      </c>
      <c r="N213" s="31">
        <f>F213/(E213+F213)</f>
        <v>8.5597129677088671E-2</v>
      </c>
      <c r="O213" s="43">
        <f>F213/D213</f>
        <v>23.114186851211073</v>
      </c>
      <c r="P213" s="49">
        <f>F213/C213</f>
        <v>4.1996730793411291E-2</v>
      </c>
      <c r="Q213" s="47">
        <f>(C213-E213-F213)/D213</f>
        <v>280.34602076124571</v>
      </c>
      <c r="R213" s="66">
        <f>G213/H213</f>
        <v>27.914588990372746</v>
      </c>
      <c r="S213" s="92">
        <f t="shared" ref="S213:S224" si="173">(C213-C199)/D213</f>
        <v>33.425605536332185</v>
      </c>
      <c r="T213" s="93">
        <f>(F213-F199)/D213</f>
        <v>2.9757785467128031</v>
      </c>
    </row>
    <row r="214" spans="2:20" x14ac:dyDescent="0.3">
      <c r="B214" s="5" t="s">
        <v>1</v>
      </c>
      <c r="C214" s="1">
        <v>14248</v>
      </c>
      <c r="D214" s="14">
        <v>8.43</v>
      </c>
      <c r="E214" s="1">
        <v>2146</v>
      </c>
      <c r="F214" s="1">
        <v>435</v>
      </c>
      <c r="G214" s="1">
        <v>139845</v>
      </c>
      <c r="H214" s="1">
        <f t="shared" ref="H214:H224" si="174">C214-E214-F214</f>
        <v>11667</v>
      </c>
      <c r="I214" s="1"/>
      <c r="J214" s="1"/>
      <c r="K214" s="21">
        <f t="shared" si="171"/>
        <v>16588.967971530248</v>
      </c>
      <c r="L214" s="21">
        <f t="shared" si="172"/>
        <v>1690.1542111506526</v>
      </c>
      <c r="M214" s="31">
        <f t="shared" ref="M214:M224" si="175">(H214-H200)/H200</f>
        <v>4.0303165403477482E-2</v>
      </c>
      <c r="N214" s="31">
        <f t="shared" ref="N214:N224" si="176">F214/(E214+F214)</f>
        <v>0.16853932584269662</v>
      </c>
      <c r="O214" s="43">
        <f t="shared" ref="O214:O222" si="177">F214/D214</f>
        <v>51.601423487544487</v>
      </c>
      <c r="P214" s="49">
        <f t="shared" ref="P214:P224" si="178">F214/C214</f>
        <v>3.0530600786075238E-2</v>
      </c>
      <c r="Q214" s="47">
        <f t="shared" ref="Q214:Q224" si="179">(C214-E214-F214)/D214</f>
        <v>1383.9857651245552</v>
      </c>
      <c r="R214" s="66">
        <f t="shared" ref="R214:R224" si="180">G214/H214</f>
        <v>11.986371817948058</v>
      </c>
      <c r="S214" s="92">
        <f t="shared" si="173"/>
        <v>81.969157769869511</v>
      </c>
      <c r="T214" s="93">
        <f t="shared" ref="T214:T224" si="181">(F214-F200)/D214</f>
        <v>8.8967971530249113</v>
      </c>
    </row>
    <row r="215" spans="2:20" x14ac:dyDescent="0.3">
      <c r="B215" s="5" t="s">
        <v>2</v>
      </c>
      <c r="C215" s="1">
        <v>1517</v>
      </c>
      <c r="D215" s="14">
        <v>5.0199999999999996</v>
      </c>
      <c r="E215" s="1">
        <v>942</v>
      </c>
      <c r="F215" s="1">
        <v>72</v>
      </c>
      <c r="G215" s="1">
        <v>56142</v>
      </c>
      <c r="H215" s="1">
        <f t="shared" si="174"/>
        <v>503</v>
      </c>
      <c r="I215" s="1"/>
      <c r="J215" s="1"/>
      <c r="K215" s="21">
        <f t="shared" si="171"/>
        <v>11183.66533864542</v>
      </c>
      <c r="L215" s="21">
        <f t="shared" si="172"/>
        <v>302.19123505976097</v>
      </c>
      <c r="M215" s="31">
        <f t="shared" si="175"/>
        <v>1.6161616161616162E-2</v>
      </c>
      <c r="N215" s="31">
        <f t="shared" si="176"/>
        <v>7.1005917159763315E-2</v>
      </c>
      <c r="O215" s="43">
        <f t="shared" si="177"/>
        <v>14.342629482071715</v>
      </c>
      <c r="P215" s="49">
        <f t="shared" si="178"/>
        <v>4.7462096242584045E-2</v>
      </c>
      <c r="Q215" s="47">
        <f t="shared" si="179"/>
        <v>100.199203187251</v>
      </c>
      <c r="R215" s="66">
        <f t="shared" si="180"/>
        <v>111.61431411530815</v>
      </c>
      <c r="S215" s="92">
        <f t="shared" si="173"/>
        <v>5.378486055776893</v>
      </c>
      <c r="T215" s="93">
        <f t="shared" si="181"/>
        <v>0.59760956175298807</v>
      </c>
    </row>
    <row r="216" spans="2:20" x14ac:dyDescent="0.3">
      <c r="B216" s="5" t="s">
        <v>3</v>
      </c>
      <c r="C216" s="1">
        <v>1870</v>
      </c>
      <c r="D216" s="14">
        <v>4.34</v>
      </c>
      <c r="E216" s="1">
        <v>914</v>
      </c>
      <c r="F216" s="1">
        <v>48</v>
      </c>
      <c r="G216" s="1">
        <v>82649</v>
      </c>
      <c r="H216" s="1">
        <f t="shared" si="174"/>
        <v>908</v>
      </c>
      <c r="I216" s="1"/>
      <c r="J216" s="1"/>
      <c r="K216" s="21">
        <f t="shared" si="171"/>
        <v>19043.548387096776</v>
      </c>
      <c r="L216" s="21">
        <f t="shared" si="172"/>
        <v>430.87557603686639</v>
      </c>
      <c r="M216" s="31">
        <f t="shared" si="175"/>
        <v>0.12237330037082818</v>
      </c>
      <c r="N216" s="31">
        <f t="shared" si="176"/>
        <v>4.9896049896049899E-2</v>
      </c>
      <c r="O216" s="43">
        <f t="shared" si="177"/>
        <v>11.059907834101383</v>
      </c>
      <c r="P216" s="49">
        <f t="shared" si="178"/>
        <v>2.5668449197860963E-2</v>
      </c>
      <c r="Q216" s="47">
        <f t="shared" si="179"/>
        <v>209.21658986175115</v>
      </c>
      <c r="R216" s="66">
        <f t="shared" si="180"/>
        <v>91.023127753303967</v>
      </c>
      <c r="S216" s="92">
        <f t="shared" si="173"/>
        <v>31.797235023041477</v>
      </c>
      <c r="T216" s="93">
        <f t="shared" si="181"/>
        <v>0.46082949308755761</v>
      </c>
    </row>
    <row r="217" spans="2:20" x14ac:dyDescent="0.3">
      <c r="B217" s="5" t="s">
        <v>4</v>
      </c>
      <c r="C217" s="1">
        <v>246</v>
      </c>
      <c r="D217" s="14">
        <v>1.36</v>
      </c>
      <c r="E217" s="1">
        <v>99</v>
      </c>
      <c r="F217" s="1">
        <v>4</v>
      </c>
      <c r="G217" s="1">
        <v>17709</v>
      </c>
      <c r="H217" s="1">
        <f t="shared" si="174"/>
        <v>143</v>
      </c>
      <c r="I217" s="1"/>
      <c r="J217" s="1"/>
      <c r="K217" s="21">
        <f t="shared" si="171"/>
        <v>13021.323529411764</v>
      </c>
      <c r="L217" s="21">
        <f t="shared" si="172"/>
        <v>180.88235294117646</v>
      </c>
      <c r="M217" s="31">
        <f t="shared" si="175"/>
        <v>0</v>
      </c>
      <c r="N217" s="31">
        <f t="shared" si="176"/>
        <v>3.8834951456310676E-2</v>
      </c>
      <c r="O217" s="43">
        <f t="shared" si="177"/>
        <v>2.9411764705882351</v>
      </c>
      <c r="P217" s="49">
        <f t="shared" si="178"/>
        <v>1.6260162601626018E-2</v>
      </c>
      <c r="Q217" s="47">
        <f t="shared" si="179"/>
        <v>105.14705882352941</v>
      </c>
      <c r="R217" s="66">
        <f t="shared" si="180"/>
        <v>123.83916083916084</v>
      </c>
      <c r="S217" s="92">
        <f t="shared" si="173"/>
        <v>0</v>
      </c>
      <c r="T217" s="93">
        <f t="shared" si="181"/>
        <v>0</v>
      </c>
    </row>
    <row r="218" spans="2:20" x14ac:dyDescent="0.3">
      <c r="B218" s="5" t="s">
        <v>5</v>
      </c>
      <c r="C218" s="1">
        <v>301</v>
      </c>
      <c r="D218" s="14">
        <v>1.17</v>
      </c>
      <c r="E218" s="1">
        <v>187</v>
      </c>
      <c r="F218" s="1">
        <v>4</v>
      </c>
      <c r="G218" s="1">
        <v>20282</v>
      </c>
      <c r="H218" s="1">
        <f t="shared" si="174"/>
        <v>110</v>
      </c>
      <c r="I218" s="1"/>
      <c r="J218" s="1"/>
      <c r="K218" s="21">
        <f t="shared" si="171"/>
        <v>17335.042735042734</v>
      </c>
      <c r="L218" s="21">
        <f t="shared" si="172"/>
        <v>257.26495726495727</v>
      </c>
      <c r="M218" s="31">
        <f t="shared" si="175"/>
        <v>-6.7796610169491525E-2</v>
      </c>
      <c r="N218" s="31">
        <f t="shared" si="176"/>
        <v>2.0942408376963352E-2</v>
      </c>
      <c r="O218" s="43">
        <f t="shared" si="177"/>
        <v>3.4188034188034191</v>
      </c>
      <c r="P218" s="49">
        <f t="shared" si="178"/>
        <v>1.3289036544850499E-2</v>
      </c>
      <c r="Q218" s="47">
        <f t="shared" si="179"/>
        <v>94.017094017094024</v>
      </c>
      <c r="R218" s="66">
        <f t="shared" si="180"/>
        <v>184.38181818181818</v>
      </c>
      <c r="S218" s="92">
        <f t="shared" si="173"/>
        <v>0.85470085470085477</v>
      </c>
      <c r="T218" s="93">
        <f t="shared" si="181"/>
        <v>0</v>
      </c>
    </row>
    <row r="219" spans="2:20" x14ac:dyDescent="0.3">
      <c r="B219" s="5" t="s">
        <v>6</v>
      </c>
      <c r="C219" s="1">
        <v>517</v>
      </c>
      <c r="D219" s="14">
        <v>0.96499999999999997</v>
      </c>
      <c r="E219" s="1">
        <v>124</v>
      </c>
      <c r="F219" s="1">
        <v>3</v>
      </c>
      <c r="G219" s="1">
        <f>16755+C219</f>
        <v>17272</v>
      </c>
      <c r="H219" s="1">
        <f t="shared" si="174"/>
        <v>390</v>
      </c>
      <c r="I219" s="1"/>
      <c r="J219" s="1"/>
      <c r="K219" s="21">
        <f t="shared" si="171"/>
        <v>17898.445595854922</v>
      </c>
      <c r="L219" s="21">
        <f t="shared" si="172"/>
        <v>535.75129533678762</v>
      </c>
      <c r="M219" s="31">
        <f t="shared" si="175"/>
        <v>5.4054054054054057E-2</v>
      </c>
      <c r="N219" s="31">
        <f t="shared" si="176"/>
        <v>2.3622047244094488E-2</v>
      </c>
      <c r="O219" s="43">
        <f t="shared" si="177"/>
        <v>3.1088082901554404</v>
      </c>
      <c r="P219" s="49">
        <f t="shared" si="178"/>
        <v>5.8027079303675051E-3</v>
      </c>
      <c r="Q219" s="47">
        <f t="shared" si="179"/>
        <v>404.14507772020727</v>
      </c>
      <c r="R219" s="66">
        <f t="shared" si="180"/>
        <v>44.287179487179486</v>
      </c>
      <c r="S219" s="92">
        <f t="shared" si="173"/>
        <v>44.559585492227981</v>
      </c>
      <c r="T219" s="93">
        <f t="shared" si="181"/>
        <v>0</v>
      </c>
    </row>
    <row r="220" spans="2:20" x14ac:dyDescent="0.3">
      <c r="B220" s="5" t="s">
        <v>7</v>
      </c>
      <c r="C220" s="1">
        <v>116</v>
      </c>
      <c r="D220" s="14">
        <v>0.77200000000000002</v>
      </c>
      <c r="E220" s="1">
        <v>75</v>
      </c>
      <c r="F220" s="1">
        <v>0</v>
      </c>
      <c r="G220" s="1">
        <v>8449</v>
      </c>
      <c r="H220" s="1">
        <f t="shared" si="174"/>
        <v>41</v>
      </c>
      <c r="I220" s="1"/>
      <c r="J220" s="1"/>
      <c r="K220" s="21">
        <f t="shared" si="171"/>
        <v>10944.300518134714</v>
      </c>
      <c r="L220" s="21">
        <f t="shared" si="172"/>
        <v>150.25906735751295</v>
      </c>
      <c r="M220" s="31">
        <f t="shared" si="175"/>
        <v>-2.3809523809523808E-2</v>
      </c>
      <c r="N220" s="31">
        <f t="shared" si="176"/>
        <v>0</v>
      </c>
      <c r="O220" s="43">
        <f t="shared" si="177"/>
        <v>0</v>
      </c>
      <c r="P220" s="49">
        <f t="shared" si="178"/>
        <v>0</v>
      </c>
      <c r="Q220" s="47">
        <f t="shared" si="179"/>
        <v>53.108808290155437</v>
      </c>
      <c r="R220" s="66">
        <f t="shared" si="180"/>
        <v>206.07317073170731</v>
      </c>
      <c r="S220" s="92">
        <f t="shared" si="173"/>
        <v>0</v>
      </c>
      <c r="T220" s="93">
        <f t="shared" si="181"/>
        <v>0</v>
      </c>
    </row>
    <row r="221" spans="2:20" x14ac:dyDescent="0.3">
      <c r="B221" s="5" t="s">
        <v>18</v>
      </c>
      <c r="C221" s="9">
        <v>25</v>
      </c>
      <c r="D221" s="15">
        <v>0.154</v>
      </c>
      <c r="E221" s="9">
        <v>23</v>
      </c>
      <c r="F221" s="9">
        <v>0</v>
      </c>
      <c r="G221" s="9">
        <v>1963</v>
      </c>
      <c r="H221" s="1">
        <f t="shared" si="174"/>
        <v>2</v>
      </c>
      <c r="I221" s="9"/>
      <c r="J221" s="9"/>
      <c r="K221" s="22">
        <f t="shared" si="171"/>
        <v>12746.753246753247</v>
      </c>
      <c r="L221" s="22">
        <f t="shared" si="172"/>
        <v>162.33766233766235</v>
      </c>
      <c r="M221" s="31">
        <f t="shared" si="175"/>
        <v>0</v>
      </c>
      <c r="N221" s="31">
        <f t="shared" si="176"/>
        <v>0</v>
      </c>
      <c r="O221" s="44">
        <f t="shared" si="177"/>
        <v>0</v>
      </c>
      <c r="P221" s="49">
        <f t="shared" si="178"/>
        <v>0</v>
      </c>
      <c r="Q221" s="47">
        <f t="shared" si="179"/>
        <v>12.987012987012987</v>
      </c>
      <c r="R221" s="66">
        <f t="shared" si="180"/>
        <v>981.5</v>
      </c>
      <c r="S221" s="92">
        <f t="shared" si="173"/>
        <v>0</v>
      </c>
      <c r="T221" s="93">
        <f t="shared" si="181"/>
        <v>0</v>
      </c>
    </row>
    <row r="222" spans="2:20" ht="15" thickBot="1" x14ac:dyDescent="0.35">
      <c r="B222" s="5" t="s">
        <v>11</v>
      </c>
      <c r="C222" s="9">
        <v>244</v>
      </c>
      <c r="D222" s="15">
        <v>0.52400000000000002</v>
      </c>
      <c r="E222" s="9">
        <v>149</v>
      </c>
      <c r="F222" s="9">
        <v>3</v>
      </c>
      <c r="G222" s="9">
        <v>5021</v>
      </c>
      <c r="H222" s="9">
        <f t="shared" si="174"/>
        <v>92</v>
      </c>
      <c r="I222" s="9"/>
      <c r="J222" s="9"/>
      <c r="K222" s="22">
        <f t="shared" si="171"/>
        <v>9582.061068702289</v>
      </c>
      <c r="L222" s="22">
        <f t="shared" si="172"/>
        <v>465.64885496183206</v>
      </c>
      <c r="M222" s="32">
        <f t="shared" si="175"/>
        <v>-0.22689075630252101</v>
      </c>
      <c r="N222" s="32">
        <f t="shared" si="176"/>
        <v>1.9736842105263157E-2</v>
      </c>
      <c r="O222" s="44">
        <f t="shared" si="177"/>
        <v>5.7251908396946565</v>
      </c>
      <c r="P222" s="50">
        <f t="shared" si="178"/>
        <v>1.2295081967213115E-2</v>
      </c>
      <c r="Q222" s="48">
        <f t="shared" si="179"/>
        <v>175.57251908396947</v>
      </c>
      <c r="R222" s="67">
        <f t="shared" si="180"/>
        <v>54.576086956521742</v>
      </c>
      <c r="S222" s="92">
        <f t="shared" si="173"/>
        <v>5.7251908396946565</v>
      </c>
      <c r="T222" s="93">
        <f t="shared" si="181"/>
        <v>1.9083969465648853</v>
      </c>
    </row>
    <row r="223" spans="2:20" ht="15" thickBot="1" x14ac:dyDescent="0.35">
      <c r="B223" s="11" t="s">
        <v>10</v>
      </c>
      <c r="C223" s="12">
        <v>27063</v>
      </c>
      <c r="D223" s="16">
        <v>37.6</v>
      </c>
      <c r="E223" s="12">
        <v>8219</v>
      </c>
      <c r="F223" s="12">
        <v>900</v>
      </c>
      <c r="G223" s="12">
        <f>SUM(G213:G222)</f>
        <v>462414</v>
      </c>
      <c r="H223" s="81">
        <f t="shared" si="174"/>
        <v>17944</v>
      </c>
      <c r="I223" s="111"/>
      <c r="J223" s="111"/>
      <c r="K223" s="77">
        <f t="shared" si="171"/>
        <v>12298.244680851063</v>
      </c>
      <c r="L223" s="85">
        <f t="shared" si="172"/>
        <v>719.76063829787233</v>
      </c>
      <c r="M223" s="33">
        <f t="shared" si="175"/>
        <v>4.6663555762949137E-2</v>
      </c>
      <c r="N223" s="86">
        <f t="shared" si="176"/>
        <v>9.8695032350038375E-2</v>
      </c>
      <c r="O223" s="45">
        <f>F223/D223</f>
        <v>23.936170212765955</v>
      </c>
      <c r="P223" s="53">
        <f t="shared" si="178"/>
        <v>3.325573661456601E-2</v>
      </c>
      <c r="Q223" s="55">
        <f t="shared" si="179"/>
        <v>477.23404255319144</v>
      </c>
      <c r="R223" s="74">
        <f t="shared" si="180"/>
        <v>25.769839500668748</v>
      </c>
      <c r="S223" s="92">
        <f t="shared" si="173"/>
        <v>36.781914893617021</v>
      </c>
      <c r="T223" s="93">
        <f t="shared" si="181"/>
        <v>3.1914893617021276</v>
      </c>
    </row>
    <row r="224" spans="2:20" ht="15" thickBot="1" x14ac:dyDescent="0.35">
      <c r="B224" s="6" t="s">
        <v>9</v>
      </c>
      <c r="C224" s="7">
        <v>602473</v>
      </c>
      <c r="D224" s="7">
        <v>327</v>
      </c>
      <c r="E224" s="7">
        <v>38179</v>
      </c>
      <c r="F224" s="7">
        <v>25668</v>
      </c>
      <c r="G224" s="7">
        <v>3081620</v>
      </c>
      <c r="H224" s="82">
        <f t="shared" si="174"/>
        <v>538626</v>
      </c>
      <c r="I224" s="112"/>
      <c r="J224" s="112"/>
      <c r="K224" s="78">
        <f t="shared" si="171"/>
        <v>9423.9143730886844</v>
      </c>
      <c r="L224" s="87">
        <f t="shared" si="172"/>
        <v>1842.4250764525993</v>
      </c>
      <c r="M224" s="33">
        <f t="shared" si="175"/>
        <v>3.827314942431246E-2</v>
      </c>
      <c r="N224" s="86">
        <f t="shared" si="176"/>
        <v>0.40202358763919999</v>
      </c>
      <c r="O224" s="46">
        <f>F224/D224</f>
        <v>78.495412844036693</v>
      </c>
      <c r="P224" s="52">
        <f t="shared" si="178"/>
        <v>4.2604398869326925E-2</v>
      </c>
      <c r="Q224" s="54">
        <f t="shared" si="179"/>
        <v>1647.1743119266055</v>
      </c>
      <c r="R224" s="72">
        <f t="shared" si="180"/>
        <v>5.7212611348133953</v>
      </c>
      <c r="S224" s="92">
        <f t="shared" si="173"/>
        <v>78.590214067278282</v>
      </c>
      <c r="T224" s="93">
        <f t="shared" si="181"/>
        <v>7.0305810397553516</v>
      </c>
    </row>
    <row r="225" spans="2:20" ht="15" thickBot="1" x14ac:dyDescent="0.35"/>
    <row r="226" spans="2:20" ht="28.8" x14ac:dyDescent="0.3">
      <c r="B226" s="17">
        <v>42095</v>
      </c>
      <c r="C226" s="18" t="s">
        <v>8</v>
      </c>
      <c r="D226" s="19" t="s">
        <v>17</v>
      </c>
      <c r="E226" s="19" t="s">
        <v>15</v>
      </c>
      <c r="F226" s="19" t="s">
        <v>16</v>
      </c>
      <c r="G226" s="19" t="s">
        <v>14</v>
      </c>
      <c r="H226" s="19" t="s">
        <v>38</v>
      </c>
      <c r="I226" s="19"/>
      <c r="J226" s="19"/>
      <c r="K226" s="19" t="s">
        <v>21</v>
      </c>
      <c r="L226" s="19" t="s">
        <v>20</v>
      </c>
      <c r="M226" s="19" t="s">
        <v>40</v>
      </c>
      <c r="N226" s="19" t="s">
        <v>32</v>
      </c>
      <c r="O226" s="19" t="s">
        <v>22</v>
      </c>
      <c r="P226" s="51" t="s">
        <v>34</v>
      </c>
      <c r="Q226" s="20" t="s">
        <v>35</v>
      </c>
      <c r="R226" s="63" t="s">
        <v>39</v>
      </c>
      <c r="S226" s="91" t="s">
        <v>43</v>
      </c>
      <c r="T226" s="91" t="s">
        <v>44</v>
      </c>
    </row>
    <row r="227" spans="2:20" x14ac:dyDescent="0.3">
      <c r="B227" s="3" t="s">
        <v>0</v>
      </c>
      <c r="C227" s="1">
        <v>8477</v>
      </c>
      <c r="D227" s="14">
        <v>14.45</v>
      </c>
      <c r="E227" s="1">
        <v>3902</v>
      </c>
      <c r="F227" s="1">
        <v>385</v>
      </c>
      <c r="G227" s="1">
        <v>119092</v>
      </c>
      <c r="H227" s="1">
        <f>C227-E227-F227</f>
        <v>4190</v>
      </c>
      <c r="I227" s="1"/>
      <c r="J227" s="1"/>
      <c r="K227" s="21">
        <f t="shared" ref="K227:K238" si="182">G227/D227</f>
        <v>8241.6608996539799</v>
      </c>
      <c r="L227" s="21">
        <f t="shared" ref="L227:L238" si="183">C227/D227</f>
        <v>586.64359861591697</v>
      </c>
      <c r="M227" s="31">
        <f>(H227-H213)/H213</f>
        <v>3.4312515428289309E-2</v>
      </c>
      <c r="N227" s="31">
        <f>F227/(E227+F227)</f>
        <v>8.9806391415908557E-2</v>
      </c>
      <c r="O227" s="43">
        <f>F227/D227</f>
        <v>26.643598615916957</v>
      </c>
      <c r="P227" s="49">
        <f>F227/C227</f>
        <v>4.5417010734929812E-2</v>
      </c>
      <c r="Q227" s="47">
        <f>(C227-E227-F227)/D227</f>
        <v>289.96539792387546</v>
      </c>
      <c r="R227" s="66">
        <f>G227/H227</f>
        <v>28.422911694510741</v>
      </c>
      <c r="S227" s="92">
        <f t="shared" ref="S227:S238" si="184">(C227-C213)/D227</f>
        <v>36.262975778546718</v>
      </c>
      <c r="T227" s="93">
        <f>(F227-F213)/D227</f>
        <v>3.5294117647058827</v>
      </c>
    </row>
    <row r="228" spans="2:20" x14ac:dyDescent="0.3">
      <c r="B228" s="5" t="s">
        <v>1</v>
      </c>
      <c r="C228" s="1">
        <v>14860</v>
      </c>
      <c r="D228" s="14">
        <v>8.43</v>
      </c>
      <c r="E228" s="1">
        <v>2491</v>
      </c>
      <c r="F228" s="1">
        <v>487</v>
      </c>
      <c r="G228" s="1">
        <v>145779</v>
      </c>
      <c r="H228" s="1">
        <f t="shared" ref="H228:H238" si="185">C228-E228-F228</f>
        <v>11882</v>
      </c>
      <c r="I228" s="1"/>
      <c r="J228" s="1"/>
      <c r="K228" s="21">
        <f t="shared" si="182"/>
        <v>17292.88256227758</v>
      </c>
      <c r="L228" s="21">
        <f t="shared" si="183"/>
        <v>1762.7520759193358</v>
      </c>
      <c r="M228" s="31">
        <f t="shared" ref="M228:M238" si="186">(H228-H214)/H214</f>
        <v>1.8428044913002487E-2</v>
      </c>
      <c r="N228" s="31">
        <f t="shared" ref="N228:N238" si="187">F228/(E228+F228)</f>
        <v>0.16353257219610476</v>
      </c>
      <c r="O228" s="43">
        <f t="shared" ref="O228:O236" si="188">F228/D228</f>
        <v>57.769869513641758</v>
      </c>
      <c r="P228" s="49">
        <f t="shared" ref="P228:P238" si="189">F228/C228</f>
        <v>3.2772543741588153E-2</v>
      </c>
      <c r="Q228" s="47">
        <f t="shared" ref="Q228:Q238" si="190">(C228-E228-F228)/D228</f>
        <v>1409.4899169632265</v>
      </c>
      <c r="R228" s="66">
        <f t="shared" ref="R228:R238" si="191">G228/H228</f>
        <v>12.268894125568087</v>
      </c>
      <c r="S228" s="92">
        <f t="shared" si="184"/>
        <v>72.59786476868328</v>
      </c>
      <c r="T228" s="93">
        <f t="shared" ref="T228:T238" si="192">(F228-F214)/D228</f>
        <v>6.1684460260972722</v>
      </c>
    </row>
    <row r="229" spans="2:20" x14ac:dyDescent="0.3">
      <c r="B229" s="5" t="s">
        <v>2</v>
      </c>
      <c r="C229" s="1">
        <v>1561</v>
      </c>
      <c r="D229" s="14">
        <v>5.0199999999999996</v>
      </c>
      <c r="E229" s="1">
        <v>995</v>
      </c>
      <c r="F229" s="1">
        <v>75</v>
      </c>
      <c r="G229" s="1">
        <v>56262</v>
      </c>
      <c r="H229" s="1">
        <f t="shared" si="185"/>
        <v>491</v>
      </c>
      <c r="I229" s="1"/>
      <c r="J229" s="1"/>
      <c r="K229" s="21">
        <f t="shared" si="182"/>
        <v>11207.569721115538</v>
      </c>
      <c r="L229" s="21">
        <f t="shared" si="183"/>
        <v>310.95617529880479</v>
      </c>
      <c r="M229" s="31">
        <f t="shared" si="186"/>
        <v>-2.3856858846918488E-2</v>
      </c>
      <c r="N229" s="31">
        <f t="shared" si="187"/>
        <v>7.0093457943925228E-2</v>
      </c>
      <c r="O229" s="43">
        <f t="shared" si="188"/>
        <v>14.940239043824702</v>
      </c>
      <c r="P229" s="49">
        <f t="shared" si="189"/>
        <v>4.8046124279308135E-2</v>
      </c>
      <c r="Q229" s="47">
        <f t="shared" si="190"/>
        <v>97.808764940239058</v>
      </c>
      <c r="R229" s="66">
        <f t="shared" si="191"/>
        <v>114.58655804480652</v>
      </c>
      <c r="S229" s="92">
        <f t="shared" si="184"/>
        <v>8.7649402390438258</v>
      </c>
      <c r="T229" s="93">
        <f t="shared" si="192"/>
        <v>0.59760956175298807</v>
      </c>
    </row>
    <row r="230" spans="2:20" x14ac:dyDescent="0.3">
      <c r="B230" s="5" t="s">
        <v>3</v>
      </c>
      <c r="C230" s="1">
        <v>1996</v>
      </c>
      <c r="D230" s="14">
        <v>4.34</v>
      </c>
      <c r="E230" s="1">
        <v>914</v>
      </c>
      <c r="F230" s="1">
        <v>48</v>
      </c>
      <c r="G230" s="1">
        <v>85502</v>
      </c>
      <c r="H230" s="1">
        <f t="shared" si="185"/>
        <v>1034</v>
      </c>
      <c r="I230" s="1"/>
      <c r="J230" s="1"/>
      <c r="K230" s="21">
        <f t="shared" si="182"/>
        <v>19700.921658986175</v>
      </c>
      <c r="L230" s="21">
        <f t="shared" si="183"/>
        <v>459.90783410138249</v>
      </c>
      <c r="M230" s="31">
        <f t="shared" si="186"/>
        <v>0.13876651982378854</v>
      </c>
      <c r="N230" s="31">
        <f t="shared" si="187"/>
        <v>4.9896049896049899E-2</v>
      </c>
      <c r="O230" s="43">
        <f t="shared" si="188"/>
        <v>11.059907834101383</v>
      </c>
      <c r="P230" s="49">
        <f t="shared" si="189"/>
        <v>2.4048096192384769E-2</v>
      </c>
      <c r="Q230" s="47">
        <f t="shared" si="190"/>
        <v>238.2488479262673</v>
      </c>
      <c r="R230" s="66">
        <f t="shared" si="191"/>
        <v>82.69052224371373</v>
      </c>
      <c r="S230" s="92">
        <f t="shared" si="184"/>
        <v>29.032258064516132</v>
      </c>
      <c r="T230" s="93">
        <f t="shared" si="192"/>
        <v>0</v>
      </c>
    </row>
    <row r="231" spans="2:20" x14ac:dyDescent="0.3">
      <c r="B231" s="5" t="s">
        <v>4</v>
      </c>
      <c r="C231" s="1">
        <v>246</v>
      </c>
      <c r="D231" s="14">
        <v>1.36</v>
      </c>
      <c r="E231" s="1">
        <v>108</v>
      </c>
      <c r="F231" s="1">
        <v>5</v>
      </c>
      <c r="G231" s="1">
        <v>17902</v>
      </c>
      <c r="H231" s="1">
        <f t="shared" si="185"/>
        <v>133</v>
      </c>
      <c r="I231" s="1"/>
      <c r="J231" s="1"/>
      <c r="K231" s="21">
        <f t="shared" si="182"/>
        <v>13163.235294117647</v>
      </c>
      <c r="L231" s="21">
        <f t="shared" si="183"/>
        <v>180.88235294117646</v>
      </c>
      <c r="M231" s="31">
        <f t="shared" si="186"/>
        <v>-6.9930069930069935E-2</v>
      </c>
      <c r="N231" s="31">
        <f t="shared" si="187"/>
        <v>4.4247787610619468E-2</v>
      </c>
      <c r="O231" s="43">
        <f t="shared" si="188"/>
        <v>3.6764705882352939</v>
      </c>
      <c r="P231" s="49">
        <f t="shared" si="189"/>
        <v>2.032520325203252E-2</v>
      </c>
      <c r="Q231" s="47">
        <f t="shared" si="190"/>
        <v>97.794117647058812</v>
      </c>
      <c r="R231" s="66">
        <f t="shared" si="191"/>
        <v>134.6015037593985</v>
      </c>
      <c r="S231" s="92">
        <f t="shared" si="184"/>
        <v>0</v>
      </c>
      <c r="T231" s="93">
        <f t="shared" si="192"/>
        <v>0.73529411764705876</v>
      </c>
    </row>
    <row r="232" spans="2:20" x14ac:dyDescent="0.3">
      <c r="B232" s="5" t="s">
        <v>5</v>
      </c>
      <c r="C232" s="1">
        <v>304</v>
      </c>
      <c r="D232" s="14">
        <v>1.17</v>
      </c>
      <c r="E232" s="1">
        <v>205</v>
      </c>
      <c r="F232" s="1">
        <v>4</v>
      </c>
      <c r="G232" s="1">
        <v>20907</v>
      </c>
      <c r="H232" s="1">
        <f t="shared" si="185"/>
        <v>95</v>
      </c>
      <c r="I232" s="1"/>
      <c r="J232" s="1"/>
      <c r="K232" s="21">
        <f t="shared" si="182"/>
        <v>17869.23076923077</v>
      </c>
      <c r="L232" s="21">
        <f t="shared" si="183"/>
        <v>259.82905982905987</v>
      </c>
      <c r="M232" s="31">
        <f t="shared" si="186"/>
        <v>-0.13636363636363635</v>
      </c>
      <c r="N232" s="31">
        <f t="shared" si="187"/>
        <v>1.9138755980861243E-2</v>
      </c>
      <c r="O232" s="43">
        <f t="shared" si="188"/>
        <v>3.4188034188034191</v>
      </c>
      <c r="P232" s="49">
        <f t="shared" si="189"/>
        <v>1.3157894736842105E-2</v>
      </c>
      <c r="Q232" s="47">
        <f t="shared" si="190"/>
        <v>81.196581196581207</v>
      </c>
      <c r="R232" s="66">
        <f t="shared" si="191"/>
        <v>220.07368421052632</v>
      </c>
      <c r="S232" s="92">
        <f t="shared" si="184"/>
        <v>2.5641025641025643</v>
      </c>
      <c r="T232" s="93">
        <f t="shared" si="192"/>
        <v>0</v>
      </c>
    </row>
    <row r="233" spans="2:20" x14ac:dyDescent="0.3">
      <c r="B233" s="5" t="s">
        <v>6</v>
      </c>
      <c r="C233" s="1">
        <v>549</v>
      </c>
      <c r="D233" s="14">
        <v>0.96499999999999997</v>
      </c>
      <c r="E233" s="1">
        <v>137</v>
      </c>
      <c r="F233" s="1">
        <v>3</v>
      </c>
      <c r="G233" s="1">
        <f>17419+C233</f>
        <v>17968</v>
      </c>
      <c r="H233" s="1">
        <f t="shared" si="185"/>
        <v>409</v>
      </c>
      <c r="I233" s="1"/>
      <c r="J233" s="1"/>
      <c r="K233" s="21">
        <f t="shared" si="182"/>
        <v>18619.689119170984</v>
      </c>
      <c r="L233" s="21">
        <f t="shared" si="183"/>
        <v>568.91191709844566</v>
      </c>
      <c r="M233" s="31">
        <f t="shared" si="186"/>
        <v>4.8717948717948718E-2</v>
      </c>
      <c r="N233" s="31">
        <f t="shared" si="187"/>
        <v>2.1428571428571429E-2</v>
      </c>
      <c r="O233" s="43">
        <f t="shared" si="188"/>
        <v>3.1088082901554404</v>
      </c>
      <c r="P233" s="49">
        <f t="shared" si="189"/>
        <v>5.4644808743169399E-3</v>
      </c>
      <c r="Q233" s="47">
        <f t="shared" si="190"/>
        <v>423.83419689119171</v>
      </c>
      <c r="R233" s="66">
        <f t="shared" si="191"/>
        <v>43.931540342298291</v>
      </c>
      <c r="S233" s="92">
        <f t="shared" si="184"/>
        <v>33.160621761658035</v>
      </c>
      <c r="T233" s="93">
        <f t="shared" si="192"/>
        <v>0</v>
      </c>
    </row>
    <row r="234" spans="2:20" x14ac:dyDescent="0.3">
      <c r="B234" s="5" t="s">
        <v>7</v>
      </c>
      <c r="C234" s="1">
        <v>117</v>
      </c>
      <c r="D234" s="14">
        <v>0.77200000000000002</v>
      </c>
      <c r="E234" s="1">
        <v>77</v>
      </c>
      <c r="F234" s="1">
        <v>0</v>
      </c>
      <c r="G234" s="1">
        <v>8824</v>
      </c>
      <c r="H234" s="1">
        <f t="shared" si="185"/>
        <v>40</v>
      </c>
      <c r="I234" s="1"/>
      <c r="J234" s="1"/>
      <c r="K234" s="21">
        <f t="shared" si="182"/>
        <v>11430.051813471502</v>
      </c>
      <c r="L234" s="21">
        <f t="shared" si="183"/>
        <v>151.55440414507771</v>
      </c>
      <c r="M234" s="31">
        <f t="shared" si="186"/>
        <v>-2.4390243902439025E-2</v>
      </c>
      <c r="N234" s="31">
        <f t="shared" si="187"/>
        <v>0</v>
      </c>
      <c r="O234" s="43">
        <f t="shared" si="188"/>
        <v>0</v>
      </c>
      <c r="P234" s="49">
        <f t="shared" si="189"/>
        <v>0</v>
      </c>
      <c r="Q234" s="47">
        <f t="shared" si="190"/>
        <v>51.813471502590673</v>
      </c>
      <c r="R234" s="66">
        <f t="shared" si="191"/>
        <v>220.6</v>
      </c>
      <c r="S234" s="92">
        <f t="shared" si="184"/>
        <v>1.2953367875647668</v>
      </c>
      <c r="T234" s="93">
        <f t="shared" si="192"/>
        <v>0</v>
      </c>
    </row>
    <row r="235" spans="2:20" x14ac:dyDescent="0.3">
      <c r="B235" s="5" t="s">
        <v>18</v>
      </c>
      <c r="C235" s="9">
        <v>26</v>
      </c>
      <c r="D235" s="15">
        <v>0.154</v>
      </c>
      <c r="E235" s="9">
        <v>23</v>
      </c>
      <c r="F235" s="9">
        <v>0</v>
      </c>
      <c r="G235" s="9">
        <v>2056</v>
      </c>
      <c r="H235" s="1">
        <f t="shared" si="185"/>
        <v>3</v>
      </c>
      <c r="I235" s="9"/>
      <c r="J235" s="9"/>
      <c r="K235" s="22">
        <f t="shared" si="182"/>
        <v>13350.649350649352</v>
      </c>
      <c r="L235" s="22">
        <f t="shared" si="183"/>
        <v>168.83116883116884</v>
      </c>
      <c r="M235" s="31">
        <f t="shared" si="186"/>
        <v>0.5</v>
      </c>
      <c r="N235" s="31">
        <f t="shared" si="187"/>
        <v>0</v>
      </c>
      <c r="O235" s="44">
        <f t="shared" si="188"/>
        <v>0</v>
      </c>
      <c r="P235" s="49">
        <f t="shared" si="189"/>
        <v>0</v>
      </c>
      <c r="Q235" s="47">
        <f t="shared" si="190"/>
        <v>19.480519480519479</v>
      </c>
      <c r="R235" s="66">
        <f t="shared" si="191"/>
        <v>685.33333333333337</v>
      </c>
      <c r="S235" s="92">
        <f t="shared" si="184"/>
        <v>6.4935064935064934</v>
      </c>
      <c r="T235" s="93">
        <f t="shared" si="192"/>
        <v>0</v>
      </c>
    </row>
    <row r="236" spans="2:20" ht="15" thickBot="1" x14ac:dyDescent="0.35">
      <c r="B236" s="5" t="s">
        <v>11</v>
      </c>
      <c r="C236" s="9">
        <v>247</v>
      </c>
      <c r="D236" s="15">
        <v>0.52400000000000002</v>
      </c>
      <c r="E236" s="9">
        <v>159</v>
      </c>
      <c r="F236" s="9">
        <v>3</v>
      </c>
      <c r="G236" s="9">
        <v>5166</v>
      </c>
      <c r="H236" s="9">
        <f t="shared" si="185"/>
        <v>85</v>
      </c>
      <c r="I236" s="9"/>
      <c r="J236" s="9"/>
      <c r="K236" s="22">
        <f t="shared" si="182"/>
        <v>9858.7786259541972</v>
      </c>
      <c r="L236" s="22">
        <f t="shared" si="183"/>
        <v>471.37404580152668</v>
      </c>
      <c r="M236" s="32">
        <f t="shared" si="186"/>
        <v>-7.6086956521739135E-2</v>
      </c>
      <c r="N236" s="32">
        <f t="shared" si="187"/>
        <v>1.8518518518518517E-2</v>
      </c>
      <c r="O236" s="44">
        <f t="shared" si="188"/>
        <v>5.7251908396946565</v>
      </c>
      <c r="P236" s="50">
        <f t="shared" si="189"/>
        <v>1.2145748987854251E-2</v>
      </c>
      <c r="Q236" s="48">
        <f t="shared" si="190"/>
        <v>162.21374045801525</v>
      </c>
      <c r="R236" s="67">
        <f t="shared" si="191"/>
        <v>60.776470588235291</v>
      </c>
      <c r="S236" s="92">
        <f t="shared" si="184"/>
        <v>5.7251908396946565</v>
      </c>
      <c r="T236" s="93">
        <f t="shared" si="192"/>
        <v>0</v>
      </c>
    </row>
    <row r="237" spans="2:20" ht="15" thickBot="1" x14ac:dyDescent="0.35">
      <c r="B237" s="11" t="s">
        <v>10</v>
      </c>
      <c r="C237" s="12">
        <v>28397</v>
      </c>
      <c r="D237" s="16">
        <v>37.6</v>
      </c>
      <c r="E237" s="12">
        <v>8979</v>
      </c>
      <c r="F237" s="12">
        <v>1010</v>
      </c>
      <c r="G237" s="12">
        <f>SUM(G227:G236)</f>
        <v>479458</v>
      </c>
      <c r="H237" s="81">
        <f t="shared" si="185"/>
        <v>18408</v>
      </c>
      <c r="I237" s="111"/>
      <c r="J237" s="111"/>
      <c r="K237" s="77">
        <f t="shared" si="182"/>
        <v>12751.54255319149</v>
      </c>
      <c r="L237" s="85">
        <f t="shared" si="183"/>
        <v>755.23936170212767</v>
      </c>
      <c r="M237" s="33">
        <f t="shared" si="186"/>
        <v>2.5858225590726706E-2</v>
      </c>
      <c r="N237" s="86">
        <f t="shared" si="187"/>
        <v>0.10111122234457903</v>
      </c>
      <c r="O237" s="45">
        <f>F237/D237</f>
        <v>26.861702127659573</v>
      </c>
      <c r="P237" s="53">
        <f t="shared" si="189"/>
        <v>3.5567137373666236E-2</v>
      </c>
      <c r="Q237" s="55">
        <f t="shared" si="190"/>
        <v>489.57446808510639</v>
      </c>
      <c r="R237" s="74">
        <f t="shared" si="191"/>
        <v>26.046175575836592</v>
      </c>
      <c r="S237" s="92">
        <f t="shared" si="184"/>
        <v>35.478723404255319</v>
      </c>
      <c r="T237" s="93">
        <f t="shared" si="192"/>
        <v>2.9255319148936167</v>
      </c>
    </row>
    <row r="238" spans="2:20" ht="15" thickBot="1" x14ac:dyDescent="0.35">
      <c r="B238" s="6" t="s">
        <v>9</v>
      </c>
      <c r="C238" s="7">
        <v>632656</v>
      </c>
      <c r="D238" s="7">
        <v>327</v>
      </c>
      <c r="E238" s="7">
        <v>42000</v>
      </c>
      <c r="F238" s="7">
        <v>28160</v>
      </c>
      <c r="G238" s="7">
        <v>3242755</v>
      </c>
      <c r="H238" s="82">
        <f t="shared" si="185"/>
        <v>562496</v>
      </c>
      <c r="I238" s="112"/>
      <c r="J238" s="112"/>
      <c r="K238" s="78">
        <f t="shared" si="182"/>
        <v>9916.6819571865435</v>
      </c>
      <c r="L238" s="87">
        <f t="shared" si="183"/>
        <v>1934.7278287461775</v>
      </c>
      <c r="M238" s="33">
        <f t="shared" si="186"/>
        <v>4.431646448556141E-2</v>
      </c>
      <c r="N238" s="86">
        <f t="shared" si="187"/>
        <v>0.40136830102622578</v>
      </c>
      <c r="O238" s="46">
        <f>F238/D238</f>
        <v>86.116207951070336</v>
      </c>
      <c r="P238" s="52">
        <f t="shared" si="189"/>
        <v>4.4510760982271566E-2</v>
      </c>
      <c r="Q238" s="54">
        <f t="shared" si="190"/>
        <v>1720.17125382263</v>
      </c>
      <c r="R238" s="72">
        <f t="shared" si="191"/>
        <v>5.7649387728979402</v>
      </c>
      <c r="S238" s="92">
        <f t="shared" si="184"/>
        <v>92.302752293577981</v>
      </c>
      <c r="T238" s="93">
        <f t="shared" si="192"/>
        <v>7.620795107033639</v>
      </c>
    </row>
    <row r="239" spans="2:20" ht="15" thickBot="1" x14ac:dyDescent="0.35"/>
    <row r="240" spans="2:20" ht="28.8" x14ac:dyDescent="0.3">
      <c r="B240" s="17">
        <v>42461</v>
      </c>
      <c r="C240" s="18" t="s">
        <v>8</v>
      </c>
      <c r="D240" s="19" t="s">
        <v>17</v>
      </c>
      <c r="E240" s="19" t="s">
        <v>15</v>
      </c>
      <c r="F240" s="19" t="s">
        <v>16</v>
      </c>
      <c r="G240" s="19" t="s">
        <v>14</v>
      </c>
      <c r="H240" s="19" t="s">
        <v>38</v>
      </c>
      <c r="I240" s="19"/>
      <c r="J240" s="19"/>
      <c r="K240" s="19" t="s">
        <v>21</v>
      </c>
      <c r="L240" s="19" t="s">
        <v>20</v>
      </c>
      <c r="M240" s="19" t="s">
        <v>40</v>
      </c>
      <c r="N240" s="19" t="s">
        <v>32</v>
      </c>
      <c r="O240" s="19" t="s">
        <v>22</v>
      </c>
      <c r="P240" s="51" t="s">
        <v>34</v>
      </c>
      <c r="Q240" s="20" t="s">
        <v>35</v>
      </c>
      <c r="R240" s="63" t="s">
        <v>39</v>
      </c>
      <c r="S240" s="91" t="s">
        <v>43</v>
      </c>
      <c r="T240" s="91" t="s">
        <v>44</v>
      </c>
    </row>
    <row r="241" spans="2:20" x14ac:dyDescent="0.3">
      <c r="B241" s="3" t="s">
        <v>0</v>
      </c>
      <c r="C241" s="1">
        <v>8961</v>
      </c>
      <c r="D241" s="14">
        <v>14.45</v>
      </c>
      <c r="E241" s="1">
        <v>4194</v>
      </c>
      <c r="F241" s="1">
        <v>423</v>
      </c>
      <c r="G241" s="1">
        <v>128093</v>
      </c>
      <c r="H241" s="1">
        <f>C241-E241-F241</f>
        <v>4344</v>
      </c>
      <c r="I241" s="1"/>
      <c r="J241" s="1"/>
      <c r="K241" s="21">
        <f t="shared" ref="K241:K252" si="193">G241/D241</f>
        <v>8864.5674740484428</v>
      </c>
      <c r="L241" s="21">
        <f t="shared" ref="L241:L252" si="194">C241/D241</f>
        <v>620.13840830449828</v>
      </c>
      <c r="M241" s="31">
        <f>(H241-H227)/H227</f>
        <v>3.6754176610978517E-2</v>
      </c>
      <c r="N241" s="31">
        <f>F241/(E241+F241)</f>
        <v>9.1617933723196876E-2</v>
      </c>
      <c r="O241" s="43">
        <f>F241/D241</f>
        <v>29.273356401384085</v>
      </c>
      <c r="P241" s="49">
        <f>F241/C241</f>
        <v>4.7204553063274188E-2</v>
      </c>
      <c r="Q241" s="47">
        <f>(C241-E241-F241)/D241</f>
        <v>300.62283737024222</v>
      </c>
      <c r="R241" s="66">
        <f>G241/H241</f>
        <v>29.487338858195212</v>
      </c>
      <c r="S241" s="92">
        <f t="shared" ref="S241:S252" si="195">(C241-C227)/D241</f>
        <v>33.49480968858132</v>
      </c>
      <c r="T241" s="93">
        <f>(F241-F227)/D241</f>
        <v>2.6297577854671284</v>
      </c>
    </row>
    <row r="242" spans="2:20" x14ac:dyDescent="0.3">
      <c r="B242" s="5" t="s">
        <v>1</v>
      </c>
      <c r="C242" s="1">
        <v>15857</v>
      </c>
      <c r="D242" s="14">
        <v>8.43</v>
      </c>
      <c r="E242" s="1">
        <v>2841</v>
      </c>
      <c r="F242" s="1">
        <v>630</v>
      </c>
      <c r="G242" s="1">
        <v>151510</v>
      </c>
      <c r="H242" s="1">
        <f t="shared" ref="H242:H252" si="196">C242-E242-F242</f>
        <v>12386</v>
      </c>
      <c r="I242" s="1"/>
      <c r="J242" s="1"/>
      <c r="K242" s="21">
        <f t="shared" si="193"/>
        <v>17972.716488730723</v>
      </c>
      <c r="L242" s="21">
        <f t="shared" si="194"/>
        <v>1881.020166073547</v>
      </c>
      <c r="M242" s="31">
        <f t="shared" ref="M242:M252" si="197">(H242-H228)/H228</f>
        <v>4.2417101498064297E-2</v>
      </c>
      <c r="N242" s="31">
        <f t="shared" ref="N242:N252" si="198">F242/(E242+F242)</f>
        <v>0.1815038893690579</v>
      </c>
      <c r="O242" s="43">
        <f t="shared" ref="O242:O250" si="199">F242/D242</f>
        <v>74.733096085409258</v>
      </c>
      <c r="P242" s="49">
        <f t="shared" ref="P242:P252" si="200">F242/C242</f>
        <v>3.973008765844737E-2</v>
      </c>
      <c r="Q242" s="47">
        <f t="shared" ref="Q242:Q252" si="201">(C242-E242-F242)/D242</f>
        <v>1469.2763938315541</v>
      </c>
      <c r="R242" s="66">
        <f t="shared" ref="R242:R252" si="202">G242/H242</f>
        <v>12.232359115129986</v>
      </c>
      <c r="S242" s="92">
        <f t="shared" si="195"/>
        <v>118.26809015421115</v>
      </c>
      <c r="T242" s="93">
        <f t="shared" ref="T242:T252" si="203">(F242-F228)/D242</f>
        <v>16.963226571767496</v>
      </c>
    </row>
    <row r="243" spans="2:20" x14ac:dyDescent="0.3">
      <c r="B243" s="5" t="s">
        <v>2</v>
      </c>
      <c r="C243" s="1">
        <v>1575</v>
      </c>
      <c r="D243" s="14">
        <v>5.0199999999999996</v>
      </c>
      <c r="E243" s="1">
        <v>983</v>
      </c>
      <c r="F243" s="1">
        <v>78</v>
      </c>
      <c r="G243" s="1">
        <v>59185</v>
      </c>
      <c r="H243" s="1">
        <f t="shared" si="196"/>
        <v>514</v>
      </c>
      <c r="I243" s="1"/>
      <c r="J243" s="1"/>
      <c r="K243" s="21">
        <f t="shared" si="193"/>
        <v>11789.840637450201</v>
      </c>
      <c r="L243" s="21">
        <f t="shared" si="194"/>
        <v>313.74501992031873</v>
      </c>
      <c r="M243" s="31">
        <f t="shared" si="197"/>
        <v>4.684317718940937E-2</v>
      </c>
      <c r="N243" s="31">
        <f t="shared" si="198"/>
        <v>7.3515551366635248E-2</v>
      </c>
      <c r="O243" s="43">
        <f t="shared" si="199"/>
        <v>15.537848605577691</v>
      </c>
      <c r="P243" s="49">
        <f t="shared" si="200"/>
        <v>4.9523809523809526E-2</v>
      </c>
      <c r="Q243" s="47">
        <f t="shared" si="201"/>
        <v>102.39043824701196</v>
      </c>
      <c r="R243" s="66">
        <f t="shared" si="202"/>
        <v>115.14591439688716</v>
      </c>
      <c r="S243" s="92">
        <f t="shared" si="195"/>
        <v>2.7888446215139444</v>
      </c>
      <c r="T243" s="93">
        <f t="shared" si="203"/>
        <v>0.59760956175298807</v>
      </c>
    </row>
    <row r="244" spans="2:20" x14ac:dyDescent="0.3">
      <c r="B244" s="5" t="s">
        <v>3</v>
      </c>
      <c r="C244" s="1">
        <v>2158</v>
      </c>
      <c r="D244" s="14">
        <v>4.34</v>
      </c>
      <c r="E244" s="1">
        <v>914</v>
      </c>
      <c r="F244" s="1">
        <v>50</v>
      </c>
      <c r="G244" s="1">
        <v>85502</v>
      </c>
      <c r="H244" s="1">
        <f t="shared" si="196"/>
        <v>1194</v>
      </c>
      <c r="I244" s="1"/>
      <c r="J244" s="1"/>
      <c r="K244" s="21">
        <f t="shared" si="193"/>
        <v>19700.921658986175</v>
      </c>
      <c r="L244" s="21">
        <f t="shared" si="194"/>
        <v>497.23502304147468</v>
      </c>
      <c r="M244" s="31">
        <f t="shared" si="197"/>
        <v>0.15473887814313347</v>
      </c>
      <c r="N244" s="31">
        <f t="shared" si="198"/>
        <v>5.1867219917012451E-2</v>
      </c>
      <c r="O244" s="43">
        <f t="shared" si="199"/>
        <v>11.520737327188941</v>
      </c>
      <c r="P244" s="49">
        <f t="shared" si="200"/>
        <v>2.3169601482854494E-2</v>
      </c>
      <c r="Q244" s="47">
        <f t="shared" si="201"/>
        <v>275.11520737327191</v>
      </c>
      <c r="R244" s="66">
        <f t="shared" si="202"/>
        <v>71.609715242881066</v>
      </c>
      <c r="S244" s="92">
        <f t="shared" si="195"/>
        <v>37.327188940092164</v>
      </c>
      <c r="T244" s="93">
        <f t="shared" si="203"/>
        <v>0.46082949308755761</v>
      </c>
    </row>
    <row r="245" spans="2:20" x14ac:dyDescent="0.3">
      <c r="B245" s="5" t="s">
        <v>4</v>
      </c>
      <c r="C245" s="1">
        <v>250</v>
      </c>
      <c r="D245" s="14">
        <v>1.36</v>
      </c>
      <c r="E245" s="1">
        <v>121</v>
      </c>
      <c r="F245" s="1">
        <v>5</v>
      </c>
      <c r="G245" s="1">
        <v>18349</v>
      </c>
      <c r="H245" s="1">
        <f t="shared" si="196"/>
        <v>124</v>
      </c>
      <c r="I245" s="1"/>
      <c r="J245" s="1"/>
      <c r="K245" s="21">
        <f t="shared" si="193"/>
        <v>13491.911764705881</v>
      </c>
      <c r="L245" s="21">
        <f t="shared" si="194"/>
        <v>183.8235294117647</v>
      </c>
      <c r="M245" s="31">
        <f t="shared" si="197"/>
        <v>-6.7669172932330823E-2</v>
      </c>
      <c r="N245" s="31">
        <f t="shared" si="198"/>
        <v>3.968253968253968E-2</v>
      </c>
      <c r="O245" s="43">
        <f t="shared" si="199"/>
        <v>3.6764705882352939</v>
      </c>
      <c r="P245" s="49">
        <f t="shared" si="200"/>
        <v>0.02</v>
      </c>
      <c r="Q245" s="47">
        <f t="shared" si="201"/>
        <v>91.17647058823529</v>
      </c>
      <c r="R245" s="66">
        <f t="shared" si="202"/>
        <v>147.9758064516129</v>
      </c>
      <c r="S245" s="92">
        <f t="shared" si="195"/>
        <v>2.9411764705882351</v>
      </c>
      <c r="T245" s="93">
        <f t="shared" si="203"/>
        <v>0</v>
      </c>
    </row>
    <row r="246" spans="2:20" x14ac:dyDescent="0.3">
      <c r="B246" s="5" t="s">
        <v>5</v>
      </c>
      <c r="C246" s="1">
        <v>305</v>
      </c>
      <c r="D246" s="14">
        <v>1.17</v>
      </c>
      <c r="E246" s="1">
        <v>219</v>
      </c>
      <c r="F246" s="1">
        <v>4</v>
      </c>
      <c r="G246" s="1">
        <v>21569</v>
      </c>
      <c r="H246" s="1">
        <f t="shared" si="196"/>
        <v>82</v>
      </c>
      <c r="I246" s="1"/>
      <c r="J246" s="1"/>
      <c r="K246" s="21">
        <f t="shared" si="193"/>
        <v>18435.042735042734</v>
      </c>
      <c r="L246" s="21">
        <f t="shared" si="194"/>
        <v>260.68376068376068</v>
      </c>
      <c r="M246" s="31">
        <f t="shared" si="197"/>
        <v>-0.1368421052631579</v>
      </c>
      <c r="N246" s="31">
        <f t="shared" si="198"/>
        <v>1.7937219730941704E-2</v>
      </c>
      <c r="O246" s="43">
        <f t="shared" si="199"/>
        <v>3.4188034188034191</v>
      </c>
      <c r="P246" s="49">
        <f t="shared" si="200"/>
        <v>1.3114754098360656E-2</v>
      </c>
      <c r="Q246" s="47">
        <f t="shared" si="201"/>
        <v>70.085470085470092</v>
      </c>
      <c r="R246" s="66">
        <f t="shared" si="202"/>
        <v>263.03658536585368</v>
      </c>
      <c r="S246" s="92">
        <f t="shared" si="195"/>
        <v>0.85470085470085477</v>
      </c>
      <c r="T246" s="93">
        <f t="shared" si="203"/>
        <v>0</v>
      </c>
    </row>
    <row r="247" spans="2:20" x14ac:dyDescent="0.3">
      <c r="B247" s="5" t="s">
        <v>6</v>
      </c>
      <c r="C247" s="1">
        <v>579</v>
      </c>
      <c r="D247" s="14">
        <v>0.96499999999999997</v>
      </c>
      <c r="E247" s="1">
        <v>176</v>
      </c>
      <c r="F247" s="1">
        <v>3</v>
      </c>
      <c r="G247" s="1">
        <f>18453+C247</f>
        <v>19032</v>
      </c>
      <c r="H247" s="1">
        <f t="shared" si="196"/>
        <v>400</v>
      </c>
      <c r="I247" s="1"/>
      <c r="J247" s="1"/>
      <c r="K247" s="21">
        <f t="shared" si="193"/>
        <v>19722.279792746114</v>
      </c>
      <c r="L247" s="21">
        <f t="shared" si="194"/>
        <v>600</v>
      </c>
      <c r="M247" s="31">
        <f t="shared" si="197"/>
        <v>-2.2004889975550123E-2</v>
      </c>
      <c r="N247" s="31">
        <f t="shared" si="198"/>
        <v>1.6759776536312849E-2</v>
      </c>
      <c r="O247" s="43">
        <f t="shared" si="199"/>
        <v>3.1088082901554404</v>
      </c>
      <c r="P247" s="49">
        <f t="shared" si="200"/>
        <v>5.1813471502590676E-3</v>
      </c>
      <c r="Q247" s="47">
        <f t="shared" si="201"/>
        <v>414.50777202072538</v>
      </c>
      <c r="R247" s="66">
        <f t="shared" si="202"/>
        <v>47.58</v>
      </c>
      <c r="S247" s="92">
        <f t="shared" si="195"/>
        <v>31.088082901554404</v>
      </c>
      <c r="T247" s="93">
        <f t="shared" si="203"/>
        <v>0</v>
      </c>
    </row>
    <row r="248" spans="2:20" x14ac:dyDescent="0.3">
      <c r="B248" s="5" t="s">
        <v>7</v>
      </c>
      <c r="C248" s="1">
        <v>117</v>
      </c>
      <c r="D248" s="14">
        <v>0.77200000000000002</v>
      </c>
      <c r="E248" s="1">
        <v>80</v>
      </c>
      <c r="F248" s="1">
        <v>0</v>
      </c>
      <c r="G248" s="1">
        <v>9134</v>
      </c>
      <c r="H248" s="1">
        <f t="shared" si="196"/>
        <v>37</v>
      </c>
      <c r="I248" s="1"/>
      <c r="J248" s="1"/>
      <c r="K248" s="21">
        <f t="shared" si="193"/>
        <v>11831.60621761658</v>
      </c>
      <c r="L248" s="21">
        <f t="shared" si="194"/>
        <v>151.55440414507771</v>
      </c>
      <c r="M248" s="31">
        <f t="shared" si="197"/>
        <v>-7.4999999999999997E-2</v>
      </c>
      <c r="N248" s="31">
        <f t="shared" si="198"/>
        <v>0</v>
      </c>
      <c r="O248" s="43">
        <f t="shared" si="199"/>
        <v>0</v>
      </c>
      <c r="P248" s="49">
        <f t="shared" si="200"/>
        <v>0</v>
      </c>
      <c r="Q248" s="47">
        <f t="shared" si="201"/>
        <v>47.927461139896373</v>
      </c>
      <c r="R248" s="66">
        <f t="shared" si="202"/>
        <v>246.86486486486487</v>
      </c>
      <c r="S248" s="92">
        <f t="shared" si="195"/>
        <v>0</v>
      </c>
      <c r="T248" s="93">
        <f t="shared" si="203"/>
        <v>0</v>
      </c>
    </row>
    <row r="249" spans="2:20" x14ac:dyDescent="0.3">
      <c r="B249" s="5" t="s">
        <v>18</v>
      </c>
      <c r="C249" s="9">
        <v>26</v>
      </c>
      <c r="D249" s="15">
        <v>0.154</v>
      </c>
      <c r="E249" s="9">
        <v>23</v>
      </c>
      <c r="F249" s="9">
        <v>0</v>
      </c>
      <c r="G249" s="9">
        <v>2149</v>
      </c>
      <c r="H249" s="1">
        <f t="shared" si="196"/>
        <v>3</v>
      </c>
      <c r="I249" s="9"/>
      <c r="J249" s="9"/>
      <c r="K249" s="22">
        <f t="shared" si="193"/>
        <v>13954.545454545454</v>
      </c>
      <c r="L249" s="22">
        <f t="shared" si="194"/>
        <v>168.83116883116884</v>
      </c>
      <c r="M249" s="31">
        <f t="shared" si="197"/>
        <v>0</v>
      </c>
      <c r="N249" s="31">
        <f t="shared" si="198"/>
        <v>0</v>
      </c>
      <c r="O249" s="44">
        <f t="shared" si="199"/>
        <v>0</v>
      </c>
      <c r="P249" s="49">
        <f t="shared" si="200"/>
        <v>0</v>
      </c>
      <c r="Q249" s="47">
        <f t="shared" si="201"/>
        <v>19.480519480519479</v>
      </c>
      <c r="R249" s="66">
        <f t="shared" si="202"/>
        <v>716.33333333333337</v>
      </c>
      <c r="S249" s="92">
        <f t="shared" si="195"/>
        <v>0</v>
      </c>
      <c r="T249" s="93">
        <f t="shared" si="203"/>
        <v>0</v>
      </c>
    </row>
    <row r="250" spans="2:20" ht="15" thickBot="1" x14ac:dyDescent="0.35">
      <c r="B250" s="5" t="s">
        <v>11</v>
      </c>
      <c r="C250" s="9">
        <v>252</v>
      </c>
      <c r="D250" s="15">
        <v>0.52400000000000002</v>
      </c>
      <c r="E250" s="9">
        <v>170</v>
      </c>
      <c r="F250" s="9">
        <v>3</v>
      </c>
      <c r="G250" s="9">
        <v>5370</v>
      </c>
      <c r="H250" s="9">
        <f t="shared" si="196"/>
        <v>79</v>
      </c>
      <c r="I250" s="9"/>
      <c r="J250" s="9"/>
      <c r="K250" s="22">
        <f t="shared" si="193"/>
        <v>10248.091603053435</v>
      </c>
      <c r="L250" s="22">
        <f t="shared" si="194"/>
        <v>480.91603053435114</v>
      </c>
      <c r="M250" s="31">
        <f t="shared" si="197"/>
        <v>-7.0588235294117646E-2</v>
      </c>
      <c r="N250" s="32">
        <f t="shared" si="198"/>
        <v>1.7341040462427744E-2</v>
      </c>
      <c r="O250" s="44">
        <f t="shared" si="199"/>
        <v>5.7251908396946565</v>
      </c>
      <c r="P250" s="50">
        <f t="shared" si="200"/>
        <v>1.1904761904761904E-2</v>
      </c>
      <c r="Q250" s="48">
        <f t="shared" si="201"/>
        <v>150.76335877862596</v>
      </c>
      <c r="R250" s="67">
        <f t="shared" si="202"/>
        <v>67.974683544303801</v>
      </c>
      <c r="S250" s="92">
        <f t="shared" si="195"/>
        <v>9.5419847328244263</v>
      </c>
      <c r="T250" s="93">
        <f t="shared" si="203"/>
        <v>0</v>
      </c>
    </row>
    <row r="251" spans="2:20" ht="15" thickBot="1" x14ac:dyDescent="0.35">
      <c r="B251" s="11" t="s">
        <v>10</v>
      </c>
      <c r="C251" s="12">
        <v>30106</v>
      </c>
      <c r="D251" s="16">
        <v>37.6</v>
      </c>
      <c r="E251" s="12">
        <v>9729</v>
      </c>
      <c r="F251" s="12">
        <v>1196</v>
      </c>
      <c r="G251" s="12">
        <f>SUM(G241:G250)</f>
        <v>499893</v>
      </c>
      <c r="H251" s="81">
        <f t="shared" si="196"/>
        <v>19181</v>
      </c>
      <c r="I251" s="111"/>
      <c r="J251" s="111"/>
      <c r="K251" s="77">
        <f t="shared" si="193"/>
        <v>13295.026595744681</v>
      </c>
      <c r="L251" s="23">
        <f t="shared" si="194"/>
        <v>800.69148936170211</v>
      </c>
      <c r="M251" s="31">
        <f t="shared" si="197"/>
        <v>4.1992611907866143E-2</v>
      </c>
      <c r="N251" s="33">
        <f t="shared" si="198"/>
        <v>0.10947368421052632</v>
      </c>
      <c r="O251" s="45">
        <f>F251/D251</f>
        <v>31.808510638297872</v>
      </c>
      <c r="P251" s="53">
        <f t="shared" si="200"/>
        <v>3.9726300405234838E-2</v>
      </c>
      <c r="Q251" s="55">
        <f t="shared" si="201"/>
        <v>510.13297872340422</v>
      </c>
      <c r="R251" s="74">
        <f t="shared" si="202"/>
        <v>26.061884156196236</v>
      </c>
      <c r="S251" s="92">
        <f t="shared" si="195"/>
        <v>45.452127659574465</v>
      </c>
      <c r="T251" s="93">
        <f t="shared" si="203"/>
        <v>4.9468085106382977</v>
      </c>
    </row>
    <row r="252" spans="2:20" ht="15" thickBot="1" x14ac:dyDescent="0.35">
      <c r="B252" s="6" t="s">
        <v>9</v>
      </c>
      <c r="C252" s="7">
        <v>663260</v>
      </c>
      <c r="D252" s="7">
        <v>327</v>
      </c>
      <c r="E252" s="7">
        <v>56618</v>
      </c>
      <c r="F252" s="7">
        <v>32443</v>
      </c>
      <c r="G252" s="7">
        <v>3401064</v>
      </c>
      <c r="H252" s="82">
        <f t="shared" si="196"/>
        <v>574199</v>
      </c>
      <c r="I252" s="112"/>
      <c r="J252" s="112"/>
      <c r="K252" s="78">
        <f t="shared" si="193"/>
        <v>10400.80733944954</v>
      </c>
      <c r="L252" s="24">
        <f t="shared" si="194"/>
        <v>2028.3180428134556</v>
      </c>
      <c r="M252" s="31">
        <f t="shared" si="197"/>
        <v>2.080548128342246E-2</v>
      </c>
      <c r="N252" s="33">
        <f t="shared" si="198"/>
        <v>0.36427841591718035</v>
      </c>
      <c r="O252" s="46">
        <f>F252/D252</f>
        <v>99.214067278287459</v>
      </c>
      <c r="P252" s="52">
        <f t="shared" si="200"/>
        <v>4.891445285408437E-2</v>
      </c>
      <c r="Q252" s="54">
        <f t="shared" si="201"/>
        <v>1755.9602446483179</v>
      </c>
      <c r="R252" s="72">
        <f t="shared" si="202"/>
        <v>5.9231451117121416</v>
      </c>
      <c r="S252" s="92">
        <f t="shared" si="195"/>
        <v>93.590214067278282</v>
      </c>
      <c r="T252" s="93">
        <f t="shared" si="203"/>
        <v>13.097859327217126</v>
      </c>
    </row>
    <row r="253" spans="2:20" ht="15" thickBot="1" x14ac:dyDescent="0.35"/>
    <row r="254" spans="2:20" ht="28.8" x14ac:dyDescent="0.3">
      <c r="B254" s="17">
        <v>42826</v>
      </c>
      <c r="C254" s="18" t="s">
        <v>8</v>
      </c>
      <c r="D254" s="19" t="s">
        <v>17</v>
      </c>
      <c r="E254" s="19" t="s">
        <v>15</v>
      </c>
      <c r="F254" s="19" t="s">
        <v>16</v>
      </c>
      <c r="G254" s="19" t="s">
        <v>14</v>
      </c>
      <c r="H254" s="19" t="s">
        <v>38</v>
      </c>
      <c r="I254" s="19"/>
      <c r="J254" s="19"/>
      <c r="K254" s="19" t="s">
        <v>21</v>
      </c>
      <c r="L254" s="19" t="s">
        <v>20</v>
      </c>
      <c r="M254" s="19" t="s">
        <v>40</v>
      </c>
      <c r="N254" s="19" t="s">
        <v>32</v>
      </c>
      <c r="O254" s="19" t="s">
        <v>22</v>
      </c>
      <c r="P254" s="51" t="s">
        <v>34</v>
      </c>
      <c r="Q254" s="20" t="s">
        <v>35</v>
      </c>
      <c r="R254" s="63" t="s">
        <v>39</v>
      </c>
      <c r="S254" s="91" t="s">
        <v>43</v>
      </c>
      <c r="T254" s="91" t="s">
        <v>44</v>
      </c>
    </row>
    <row r="255" spans="2:20" x14ac:dyDescent="0.3">
      <c r="B255" s="3" t="s">
        <v>0</v>
      </c>
      <c r="C255" s="1">
        <v>9525</v>
      </c>
      <c r="D255" s="14">
        <v>14.45</v>
      </c>
      <c r="E255" s="1">
        <v>4556</v>
      </c>
      <c r="F255" s="1">
        <v>478</v>
      </c>
      <c r="G255" s="1">
        <v>136992</v>
      </c>
      <c r="H255" s="1">
        <f>C255-E255-F255</f>
        <v>4491</v>
      </c>
      <c r="I255" s="1"/>
      <c r="J255" s="1"/>
      <c r="K255" s="21">
        <f t="shared" ref="K255:K266" si="204">G255/D255</f>
        <v>9480.415224913495</v>
      </c>
      <c r="L255" s="21">
        <f t="shared" ref="L255:L266" si="205">C255/D255</f>
        <v>659.16955017301041</v>
      </c>
      <c r="M255" s="31">
        <f>(H255-H241)/H241</f>
        <v>3.3839779005524859E-2</v>
      </c>
      <c r="N255" s="31">
        <f>F255/(E255+F255)</f>
        <v>9.4954310687326182E-2</v>
      </c>
      <c r="O255" s="43">
        <f>F255/D255</f>
        <v>33.079584775086509</v>
      </c>
      <c r="P255" s="49">
        <f>F255/C255</f>
        <v>5.0183727034120738E-2</v>
      </c>
      <c r="Q255" s="47">
        <f>(C255-E255-F255)/D255</f>
        <v>310.79584775086505</v>
      </c>
      <c r="R255" s="66">
        <f>G255/H255</f>
        <v>30.50367401469606</v>
      </c>
      <c r="S255" s="92">
        <f t="shared" ref="S255:S266" si="206">(C255-C241)/D255</f>
        <v>39.031141868512115</v>
      </c>
      <c r="T255" s="93">
        <f>(F255-F241)/D255</f>
        <v>3.8062283737024223</v>
      </c>
    </row>
    <row r="256" spans="2:20" x14ac:dyDescent="0.3">
      <c r="B256" s="5" t="s">
        <v>1</v>
      </c>
      <c r="C256" s="1">
        <v>16789</v>
      </c>
      <c r="D256" s="14">
        <v>8.43</v>
      </c>
      <c r="E256" s="1">
        <v>3068</v>
      </c>
      <c r="F256" s="1">
        <v>688</v>
      </c>
      <c r="G256" s="1">
        <v>156557</v>
      </c>
      <c r="H256" s="1">
        <f t="shared" ref="H256:H266" si="207">C256-E256-F256</f>
        <v>13033</v>
      </c>
      <c r="I256" s="1"/>
      <c r="J256" s="1"/>
      <c r="K256" s="21">
        <f t="shared" si="204"/>
        <v>18571.411625148281</v>
      </c>
      <c r="L256" s="21">
        <f t="shared" si="205"/>
        <v>1991.5776986951364</v>
      </c>
      <c r="M256" s="31">
        <f t="shared" ref="M256:M266" si="208">(H256-H242)/H242</f>
        <v>5.2236395930889717E-2</v>
      </c>
      <c r="N256" s="31">
        <f t="shared" ref="N256:N266" si="209">F256/(E256+F256)</f>
        <v>0.18317358892438765</v>
      </c>
      <c r="O256" s="43">
        <f t="shared" ref="O256:O264" si="210">F256/D256</f>
        <v>81.613285883748517</v>
      </c>
      <c r="P256" s="49">
        <f t="shared" ref="P256:P266" si="211">F256/C256</f>
        <v>4.0979212579665254E-2</v>
      </c>
      <c r="Q256" s="47">
        <f t="shared" ref="Q256:Q266" si="212">(C256-E256-F256)/D256</f>
        <v>1546.026097271649</v>
      </c>
      <c r="R256" s="66">
        <f t="shared" ref="R256:R266" si="213">G256/H256</f>
        <v>12.012353257116549</v>
      </c>
      <c r="S256" s="92">
        <f t="shared" si="206"/>
        <v>110.55753262158956</v>
      </c>
      <c r="T256" s="93">
        <f t="shared" ref="T256:T266" si="214">(F256-F242)/D256</f>
        <v>6.8801897983392646</v>
      </c>
    </row>
    <row r="257" spans="2:24" x14ac:dyDescent="0.3">
      <c r="B257" s="5" t="s">
        <v>2</v>
      </c>
      <c r="C257" s="1">
        <v>1618</v>
      </c>
      <c r="D257" s="14">
        <v>5.0199999999999996</v>
      </c>
      <c r="E257" s="1">
        <v>966</v>
      </c>
      <c r="F257" s="1">
        <v>78</v>
      </c>
      <c r="G257" s="1">
        <v>59185</v>
      </c>
      <c r="H257" s="1">
        <f t="shared" si="207"/>
        <v>574</v>
      </c>
      <c r="I257" s="1"/>
      <c r="J257" s="1"/>
      <c r="K257" s="21">
        <f t="shared" si="204"/>
        <v>11789.840637450201</v>
      </c>
      <c r="L257" s="21">
        <f t="shared" si="205"/>
        <v>322.31075697211156</v>
      </c>
      <c r="M257" s="31">
        <f t="shared" si="208"/>
        <v>0.11673151750972763</v>
      </c>
      <c r="N257" s="31">
        <f t="shared" si="209"/>
        <v>7.4712643678160925E-2</v>
      </c>
      <c r="O257" s="43">
        <f t="shared" si="210"/>
        <v>15.537848605577691</v>
      </c>
      <c r="P257" s="49">
        <f t="shared" si="211"/>
        <v>4.8207663782447466E-2</v>
      </c>
      <c r="Q257" s="47">
        <f t="shared" si="212"/>
        <v>114.34262948207173</v>
      </c>
      <c r="R257" s="66">
        <f t="shared" si="213"/>
        <v>103.10975609756098</v>
      </c>
      <c r="S257" s="92">
        <f t="shared" si="206"/>
        <v>8.56573705179283</v>
      </c>
      <c r="T257" s="93">
        <f t="shared" si="214"/>
        <v>0</v>
      </c>
    </row>
    <row r="258" spans="2:24" x14ac:dyDescent="0.3">
      <c r="B258" s="5" t="s">
        <v>3</v>
      </c>
      <c r="C258" s="1">
        <v>2397</v>
      </c>
      <c r="D258" s="14">
        <v>4.34</v>
      </c>
      <c r="E258" s="1">
        <v>1124</v>
      </c>
      <c r="F258" s="1">
        <v>50</v>
      </c>
      <c r="G258" s="1">
        <v>92805</v>
      </c>
      <c r="H258" s="1">
        <f t="shared" si="207"/>
        <v>1223</v>
      </c>
      <c r="I258" s="1"/>
      <c r="J258" s="1"/>
      <c r="K258" s="21">
        <f t="shared" si="204"/>
        <v>21383.640552995392</v>
      </c>
      <c r="L258" s="21">
        <f t="shared" si="205"/>
        <v>552.30414746543784</v>
      </c>
      <c r="M258" s="31">
        <f t="shared" si="208"/>
        <v>2.4288107202680067E-2</v>
      </c>
      <c r="N258" s="31">
        <f t="shared" si="209"/>
        <v>4.2589437819420782E-2</v>
      </c>
      <c r="O258" s="43">
        <f t="shared" si="210"/>
        <v>11.520737327188941</v>
      </c>
      <c r="P258" s="49">
        <f t="shared" si="211"/>
        <v>2.0859407592824362E-2</v>
      </c>
      <c r="Q258" s="47">
        <f t="shared" si="212"/>
        <v>281.79723502304148</v>
      </c>
      <c r="R258" s="66">
        <f t="shared" si="213"/>
        <v>75.883074407195423</v>
      </c>
      <c r="S258" s="92">
        <f t="shared" si="206"/>
        <v>55.069124423963139</v>
      </c>
      <c r="T258" s="93">
        <f t="shared" si="214"/>
        <v>0</v>
      </c>
    </row>
    <row r="259" spans="2:24" x14ac:dyDescent="0.3">
      <c r="B259" s="5" t="s">
        <v>4</v>
      </c>
      <c r="C259" s="1">
        <v>250</v>
      </c>
      <c r="D259" s="14">
        <v>1.36</v>
      </c>
      <c r="E259" s="1">
        <v>132</v>
      </c>
      <c r="F259" s="1">
        <v>5</v>
      </c>
      <c r="G259" s="1">
        <v>18856</v>
      </c>
      <c r="H259" s="1">
        <f t="shared" si="207"/>
        <v>113</v>
      </c>
      <c r="I259" s="1"/>
      <c r="J259" s="1"/>
      <c r="K259" s="21">
        <f t="shared" si="204"/>
        <v>13864.705882352941</v>
      </c>
      <c r="L259" s="21">
        <f t="shared" si="205"/>
        <v>183.8235294117647</v>
      </c>
      <c r="M259" s="31">
        <f t="shared" si="208"/>
        <v>-8.8709677419354843E-2</v>
      </c>
      <c r="N259" s="31">
        <f t="shared" si="209"/>
        <v>3.6496350364963501E-2</v>
      </c>
      <c r="O259" s="43">
        <f t="shared" si="210"/>
        <v>3.6764705882352939</v>
      </c>
      <c r="P259" s="49">
        <f t="shared" si="211"/>
        <v>0.02</v>
      </c>
      <c r="Q259" s="47">
        <f t="shared" si="212"/>
        <v>83.088235294117638</v>
      </c>
      <c r="R259" s="66">
        <f t="shared" si="213"/>
        <v>166.86725663716814</v>
      </c>
      <c r="S259" s="92">
        <f t="shared" si="206"/>
        <v>0</v>
      </c>
      <c r="T259" s="93">
        <f t="shared" si="214"/>
        <v>0</v>
      </c>
    </row>
    <row r="260" spans="2:24" x14ac:dyDescent="0.3">
      <c r="B260" s="5" t="s">
        <v>5</v>
      </c>
      <c r="C260" s="1">
        <v>307</v>
      </c>
      <c r="D260" s="14">
        <v>1.17</v>
      </c>
      <c r="E260" s="1">
        <v>228</v>
      </c>
      <c r="F260" s="1">
        <v>4</v>
      </c>
      <c r="G260" s="1">
        <v>22207</v>
      </c>
      <c r="H260" s="1">
        <f t="shared" si="207"/>
        <v>75</v>
      </c>
      <c r="I260" s="1"/>
      <c r="J260" s="1"/>
      <c r="K260" s="21">
        <f t="shared" si="204"/>
        <v>18980.341880341883</v>
      </c>
      <c r="L260" s="21">
        <f t="shared" si="205"/>
        <v>262.39316239316241</v>
      </c>
      <c r="M260" s="31">
        <f t="shared" si="208"/>
        <v>-8.5365853658536592E-2</v>
      </c>
      <c r="N260" s="31">
        <f t="shared" si="209"/>
        <v>1.7241379310344827E-2</v>
      </c>
      <c r="O260" s="43">
        <f t="shared" si="210"/>
        <v>3.4188034188034191</v>
      </c>
      <c r="P260" s="49">
        <f t="shared" si="211"/>
        <v>1.3029315960912053E-2</v>
      </c>
      <c r="Q260" s="47">
        <f t="shared" si="212"/>
        <v>64.102564102564102</v>
      </c>
      <c r="R260" s="66">
        <f t="shared" si="213"/>
        <v>296.09333333333331</v>
      </c>
      <c r="S260" s="92">
        <f t="shared" si="206"/>
        <v>1.7094017094017095</v>
      </c>
      <c r="T260" s="93">
        <f t="shared" si="214"/>
        <v>0</v>
      </c>
    </row>
    <row r="261" spans="2:24" x14ac:dyDescent="0.3">
      <c r="B261" s="5" t="s">
        <v>6</v>
      </c>
      <c r="C261" s="1">
        <v>606</v>
      </c>
      <c r="D261" s="14">
        <v>0.96499999999999997</v>
      </c>
      <c r="E261" s="1">
        <v>177</v>
      </c>
      <c r="F261" s="1">
        <v>4</v>
      </c>
      <c r="G261" s="1">
        <f>19506+C261</f>
        <v>20112</v>
      </c>
      <c r="H261" s="1">
        <f t="shared" si="207"/>
        <v>425</v>
      </c>
      <c r="I261" s="1"/>
      <c r="J261" s="1"/>
      <c r="K261" s="21">
        <f t="shared" si="204"/>
        <v>20841.450777202073</v>
      </c>
      <c r="L261" s="21">
        <f t="shared" si="205"/>
        <v>627.97927461139898</v>
      </c>
      <c r="M261" s="31">
        <f t="shared" si="208"/>
        <v>6.25E-2</v>
      </c>
      <c r="N261" s="31">
        <f t="shared" si="209"/>
        <v>2.2099447513812154E-2</v>
      </c>
      <c r="O261" s="43">
        <f t="shared" si="210"/>
        <v>4.1450777202072544</v>
      </c>
      <c r="P261" s="49">
        <f t="shared" si="211"/>
        <v>6.6006600660066007E-3</v>
      </c>
      <c r="Q261" s="47">
        <f t="shared" si="212"/>
        <v>440.41450777202073</v>
      </c>
      <c r="R261" s="66">
        <f t="shared" si="213"/>
        <v>47.322352941176469</v>
      </c>
      <c r="S261" s="92">
        <f t="shared" si="206"/>
        <v>27.979274611398964</v>
      </c>
      <c r="T261" s="93">
        <f t="shared" si="214"/>
        <v>1.0362694300518136</v>
      </c>
    </row>
    <row r="262" spans="2:24" x14ac:dyDescent="0.3">
      <c r="B262" s="5" t="s">
        <v>7</v>
      </c>
      <c r="C262" s="1">
        <v>117</v>
      </c>
      <c r="D262" s="14">
        <v>0.77200000000000002</v>
      </c>
      <c r="E262" s="1">
        <v>83</v>
      </c>
      <c r="F262" s="1">
        <v>0</v>
      </c>
      <c r="G262" s="1">
        <v>9900</v>
      </c>
      <c r="H262" s="1">
        <f t="shared" si="207"/>
        <v>34</v>
      </c>
      <c r="I262" s="1"/>
      <c r="J262" s="1"/>
      <c r="K262" s="21">
        <f t="shared" si="204"/>
        <v>12823.834196891192</v>
      </c>
      <c r="L262" s="21">
        <f t="shared" si="205"/>
        <v>151.55440414507771</v>
      </c>
      <c r="M262" s="31">
        <f t="shared" si="208"/>
        <v>-8.1081081081081086E-2</v>
      </c>
      <c r="N262" s="31">
        <f t="shared" si="209"/>
        <v>0</v>
      </c>
      <c r="O262" s="43">
        <f t="shared" si="210"/>
        <v>0</v>
      </c>
      <c r="P262" s="49">
        <f t="shared" si="211"/>
        <v>0</v>
      </c>
      <c r="Q262" s="47">
        <f t="shared" si="212"/>
        <v>44.041450777202073</v>
      </c>
      <c r="R262" s="66">
        <f t="shared" si="213"/>
        <v>291.1764705882353</v>
      </c>
      <c r="S262" s="92">
        <f t="shared" si="206"/>
        <v>0</v>
      </c>
      <c r="T262" s="93">
        <f t="shared" si="214"/>
        <v>0</v>
      </c>
    </row>
    <row r="263" spans="2:24" x14ac:dyDescent="0.3">
      <c r="B263" s="5" t="s">
        <v>18</v>
      </c>
      <c r="C263" s="9">
        <v>26</v>
      </c>
      <c r="D263" s="15">
        <v>0.154</v>
      </c>
      <c r="E263" s="9">
        <v>23</v>
      </c>
      <c r="F263" s="9">
        <v>0</v>
      </c>
      <c r="G263" s="9">
        <v>2267</v>
      </c>
      <c r="H263" s="1">
        <f t="shared" si="207"/>
        <v>3</v>
      </c>
      <c r="I263" s="9"/>
      <c r="J263" s="9"/>
      <c r="K263" s="22">
        <f t="shared" si="204"/>
        <v>14720.779220779221</v>
      </c>
      <c r="L263" s="22">
        <f t="shared" si="205"/>
        <v>168.83116883116884</v>
      </c>
      <c r="M263" s="31">
        <f t="shared" si="208"/>
        <v>0</v>
      </c>
      <c r="N263" s="31">
        <f t="shared" si="209"/>
        <v>0</v>
      </c>
      <c r="O263" s="44">
        <f t="shared" si="210"/>
        <v>0</v>
      </c>
      <c r="P263" s="49">
        <f t="shared" si="211"/>
        <v>0</v>
      </c>
      <c r="Q263" s="47">
        <f t="shared" si="212"/>
        <v>19.480519480519479</v>
      </c>
      <c r="R263" s="66">
        <f t="shared" si="213"/>
        <v>755.66666666666663</v>
      </c>
      <c r="S263" s="92">
        <f t="shared" si="206"/>
        <v>0</v>
      </c>
      <c r="T263" s="93">
        <f t="shared" si="214"/>
        <v>0</v>
      </c>
    </row>
    <row r="264" spans="2:24" ht="15" thickBot="1" x14ac:dyDescent="0.35">
      <c r="B264" s="5" t="s">
        <v>11</v>
      </c>
      <c r="C264" s="9">
        <v>256</v>
      </c>
      <c r="D264" s="15">
        <v>0.52400000000000002</v>
      </c>
      <c r="E264" s="9">
        <v>176</v>
      </c>
      <c r="F264" s="9">
        <v>3</v>
      </c>
      <c r="G264" s="9">
        <v>5585</v>
      </c>
      <c r="H264" s="9">
        <f t="shared" si="207"/>
        <v>77</v>
      </c>
      <c r="I264" s="9"/>
      <c r="J264" s="9"/>
      <c r="K264" s="22">
        <f t="shared" si="204"/>
        <v>10658.396946564884</v>
      </c>
      <c r="L264" s="22">
        <f t="shared" si="205"/>
        <v>488.54961832061065</v>
      </c>
      <c r="M264" s="31">
        <f t="shared" si="208"/>
        <v>-2.5316455696202531E-2</v>
      </c>
      <c r="N264" s="32">
        <f t="shared" si="209"/>
        <v>1.6759776536312849E-2</v>
      </c>
      <c r="O264" s="44">
        <f t="shared" si="210"/>
        <v>5.7251908396946565</v>
      </c>
      <c r="P264" s="50">
        <f t="shared" si="211"/>
        <v>1.171875E-2</v>
      </c>
      <c r="Q264" s="48">
        <f t="shared" si="212"/>
        <v>146.94656488549617</v>
      </c>
      <c r="R264" s="67">
        <f t="shared" si="213"/>
        <v>72.532467532467535</v>
      </c>
      <c r="S264" s="92">
        <f t="shared" si="206"/>
        <v>7.6335877862595414</v>
      </c>
      <c r="T264" s="93">
        <f t="shared" si="214"/>
        <v>0</v>
      </c>
    </row>
    <row r="265" spans="2:24" ht="15" thickBot="1" x14ac:dyDescent="0.35">
      <c r="B265" s="11" t="s">
        <v>10</v>
      </c>
      <c r="C265" s="12">
        <v>31927</v>
      </c>
      <c r="D265" s="16">
        <v>37.6</v>
      </c>
      <c r="E265" s="12">
        <v>10543</v>
      </c>
      <c r="F265" s="12">
        <v>1310</v>
      </c>
      <c r="G265" s="12">
        <f>SUM(G255:G264)</f>
        <v>524466</v>
      </c>
      <c r="H265" s="81">
        <f t="shared" si="207"/>
        <v>20074</v>
      </c>
      <c r="I265" s="111"/>
      <c r="J265" s="111"/>
      <c r="K265" s="77">
        <f t="shared" si="204"/>
        <v>13948.563829787234</v>
      </c>
      <c r="L265" s="23">
        <f t="shared" si="205"/>
        <v>849.12234042553189</v>
      </c>
      <c r="M265" s="31">
        <f t="shared" si="208"/>
        <v>4.6556488191439448E-2</v>
      </c>
      <c r="N265" s="33">
        <f t="shared" si="209"/>
        <v>0.11052054332236565</v>
      </c>
      <c r="O265" s="45">
        <f>F265/D265</f>
        <v>34.840425531914889</v>
      </c>
      <c r="P265" s="53">
        <f t="shared" si="211"/>
        <v>4.1031102201898081E-2</v>
      </c>
      <c r="Q265" s="55">
        <f t="shared" si="212"/>
        <v>533.88297872340422</v>
      </c>
      <c r="R265" s="74">
        <f t="shared" si="213"/>
        <v>26.126631463584737</v>
      </c>
      <c r="S265" s="92">
        <f t="shared" si="206"/>
        <v>48.430851063829785</v>
      </c>
      <c r="T265" s="93">
        <f t="shared" si="214"/>
        <v>3.0319148936170213</v>
      </c>
    </row>
    <row r="266" spans="2:24" ht="15" thickBot="1" x14ac:dyDescent="0.35">
      <c r="B266" s="6" t="s">
        <v>9</v>
      </c>
      <c r="C266" s="7">
        <v>694520</v>
      </c>
      <c r="D266" s="7">
        <v>327</v>
      </c>
      <c r="E266" s="7">
        <v>59147</v>
      </c>
      <c r="F266" s="7">
        <v>36576</v>
      </c>
      <c r="G266" s="7">
        <v>3557493</v>
      </c>
      <c r="H266" s="82">
        <f t="shared" si="207"/>
        <v>598797</v>
      </c>
      <c r="I266" s="112"/>
      <c r="J266" s="112"/>
      <c r="K266" s="78">
        <f t="shared" si="204"/>
        <v>10879.183486238531</v>
      </c>
      <c r="L266" s="24">
        <f t="shared" si="205"/>
        <v>2123.9143730886849</v>
      </c>
      <c r="M266" s="31">
        <f t="shared" si="208"/>
        <v>4.2838806755149346E-2</v>
      </c>
      <c r="N266" s="33">
        <f t="shared" si="209"/>
        <v>0.38210252499399311</v>
      </c>
      <c r="O266" s="46">
        <f>F266/D266</f>
        <v>111.85321100917432</v>
      </c>
      <c r="P266" s="52">
        <f t="shared" si="211"/>
        <v>5.2663710188331513E-2</v>
      </c>
      <c r="Q266" s="54">
        <f t="shared" si="212"/>
        <v>1831.1834862385322</v>
      </c>
      <c r="R266" s="72">
        <f t="shared" si="213"/>
        <v>5.9410668390122199</v>
      </c>
      <c r="S266" s="92">
        <f t="shared" si="206"/>
        <v>95.596330275229363</v>
      </c>
      <c r="T266" s="93">
        <f t="shared" si="214"/>
        <v>12.63914373088685</v>
      </c>
    </row>
    <row r="267" spans="2:24" ht="15" thickBot="1" x14ac:dyDescent="0.35"/>
    <row r="268" spans="2:24" ht="29.4" thickBot="1" x14ac:dyDescent="0.35">
      <c r="B268" s="17">
        <v>43191</v>
      </c>
      <c r="C268" s="18" t="s">
        <v>8</v>
      </c>
      <c r="D268" s="19" t="s">
        <v>17</v>
      </c>
      <c r="E268" s="19" t="s">
        <v>15</v>
      </c>
      <c r="F268" s="19" t="s">
        <v>16</v>
      </c>
      <c r="G268" s="19" t="s">
        <v>14</v>
      </c>
      <c r="H268" s="19" t="s">
        <v>38</v>
      </c>
      <c r="I268" s="19"/>
      <c r="J268" s="19"/>
      <c r="K268" s="19" t="s">
        <v>21</v>
      </c>
      <c r="L268" s="19" t="s">
        <v>20</v>
      </c>
      <c r="M268" s="19" t="s">
        <v>40</v>
      </c>
      <c r="N268" s="19" t="s">
        <v>32</v>
      </c>
      <c r="O268" s="19" t="s">
        <v>22</v>
      </c>
      <c r="P268" s="51" t="s">
        <v>34</v>
      </c>
      <c r="Q268" s="20" t="s">
        <v>35</v>
      </c>
      <c r="R268" s="63" t="s">
        <v>39</v>
      </c>
      <c r="S268" s="91" t="s">
        <v>43</v>
      </c>
      <c r="T268" s="91" t="s">
        <v>44</v>
      </c>
      <c r="V268" s="104" t="s">
        <v>48</v>
      </c>
      <c r="W268" s="105" t="s">
        <v>49</v>
      </c>
      <c r="X268" s="106" t="s">
        <v>50</v>
      </c>
    </row>
    <row r="269" spans="2:24" x14ac:dyDescent="0.3">
      <c r="B269" s="3" t="s">
        <v>0</v>
      </c>
      <c r="C269" s="1">
        <v>10010</v>
      </c>
      <c r="D269" s="14">
        <v>14.45</v>
      </c>
      <c r="E269" s="1">
        <v>4918</v>
      </c>
      <c r="F269" s="1">
        <v>514</v>
      </c>
      <c r="G269" s="1">
        <v>146545</v>
      </c>
      <c r="H269" s="1">
        <f>C269-E269-F269</f>
        <v>4578</v>
      </c>
      <c r="I269" s="1"/>
      <c r="J269" s="1"/>
      <c r="K269" s="21">
        <f t="shared" ref="K269:K280" si="215">G269/D269</f>
        <v>10141.522491349482</v>
      </c>
      <c r="L269" s="21">
        <f t="shared" ref="L269:L280" si="216">C269/D269</f>
        <v>692.73356401384092</v>
      </c>
      <c r="M269" s="31">
        <f>(H269-H255)/H255</f>
        <v>1.9372077488309953E-2</v>
      </c>
      <c r="N269" s="31">
        <f>F269/(E269+F269)</f>
        <v>9.4624447717231219E-2</v>
      </c>
      <c r="O269" s="43">
        <f>F269/D269</f>
        <v>35.570934256055367</v>
      </c>
      <c r="P269" s="49">
        <f>F269/C269</f>
        <v>5.1348651348651346E-2</v>
      </c>
      <c r="Q269" s="47">
        <f>(C269-E269-F269)/D269</f>
        <v>316.8166089965398</v>
      </c>
      <c r="R269" s="66">
        <f>G269/H269</f>
        <v>32.010703363914374</v>
      </c>
      <c r="S269" s="92">
        <f t="shared" ref="S269:S280" si="217">(C269-C255)/D269</f>
        <v>33.564013840830448</v>
      </c>
      <c r="T269" s="93">
        <f>(F269-F255)/D269</f>
        <v>2.4913494809688581</v>
      </c>
      <c r="V269" s="101" t="str">
        <f>B269</f>
        <v>ON</v>
      </c>
      <c r="W269" s="102">
        <f>C269/D269/180+IFERROR((D269*C269*5)/(F269*F269),400)</f>
        <v>6.5859666198622051</v>
      </c>
      <c r="X269" s="103">
        <f>L269/75000/K269*K$279</f>
        <v>1.326348271498915E-2</v>
      </c>
    </row>
    <row r="270" spans="2:24" x14ac:dyDescent="0.3">
      <c r="B270" s="5" t="s">
        <v>1</v>
      </c>
      <c r="C270" s="1">
        <v>17521</v>
      </c>
      <c r="D270" s="14">
        <v>8.43</v>
      </c>
      <c r="E270" s="1">
        <v>3315</v>
      </c>
      <c r="F270" s="1">
        <v>805</v>
      </c>
      <c r="G270" s="1">
        <v>161734</v>
      </c>
      <c r="H270" s="1">
        <f t="shared" ref="H270:H280" si="218">C270-E270-F270</f>
        <v>13401</v>
      </c>
      <c r="I270" s="1"/>
      <c r="J270" s="1"/>
      <c r="K270" s="21">
        <f t="shared" si="215"/>
        <v>19185.52787663108</v>
      </c>
      <c r="L270" s="21">
        <f t="shared" si="216"/>
        <v>2078.4104389086597</v>
      </c>
      <c r="M270" s="31">
        <f t="shared" ref="M270:M280" si="219">(H270-H256)/H256</f>
        <v>2.8236016266400675E-2</v>
      </c>
      <c r="N270" s="31">
        <f t="shared" ref="N270:N280" si="220">F270/(E270+F270)</f>
        <v>0.1953883495145631</v>
      </c>
      <c r="O270" s="43">
        <f t="shared" ref="O270:O278" si="221">F270/D270</f>
        <v>95.492289442467381</v>
      </c>
      <c r="P270" s="49">
        <f t="shared" ref="P270:P280" si="222">F270/C270</f>
        <v>4.5944866160607271E-2</v>
      </c>
      <c r="Q270" s="47">
        <f t="shared" ref="Q270:Q280" si="223">(C270-E270-F270)/D270</f>
        <v>1589.6797153024911</v>
      </c>
      <c r="R270" s="66">
        <f t="shared" ref="R270:R280" si="224">G270/H270</f>
        <v>12.068800835758525</v>
      </c>
      <c r="S270" s="92">
        <f t="shared" si="217"/>
        <v>86.832740213523138</v>
      </c>
      <c r="T270" s="93">
        <f t="shared" ref="T270:T280" si="225">(F270-F256)/D270</f>
        <v>13.879003558718862</v>
      </c>
      <c r="V270" s="98" t="str">
        <f t="shared" ref="V270:V280" si="226">B270</f>
        <v>QC</v>
      </c>
      <c r="W270" s="100">
        <f t="shared" ref="W270:W280" si="227">C270/D270/180+IFERROR((D270*C270*5)/(F270*F270),400)</f>
        <v>12.686356850719788</v>
      </c>
      <c r="X270" s="103">
        <f t="shared" ref="X270:X280" si="228">L270/75000/K270*K$279</f>
        <v>2.1035462516730254E-2</v>
      </c>
    </row>
    <row r="271" spans="2:24" x14ac:dyDescent="0.3">
      <c r="B271" s="5" t="s">
        <v>2</v>
      </c>
      <c r="C271" s="1">
        <v>1647</v>
      </c>
      <c r="D271" s="14">
        <v>5.0199999999999996</v>
      </c>
      <c r="E271" s="1">
        <v>987</v>
      </c>
      <c r="F271" s="1">
        <v>81</v>
      </c>
      <c r="G271" s="1">
        <v>60668</v>
      </c>
      <c r="H271" s="1">
        <f t="shared" si="218"/>
        <v>579</v>
      </c>
      <c r="I271" s="1"/>
      <c r="J271" s="1"/>
      <c r="K271" s="21">
        <f t="shared" si="215"/>
        <v>12085.258964143428</v>
      </c>
      <c r="L271" s="21">
        <f t="shared" si="216"/>
        <v>328.08764940239047</v>
      </c>
      <c r="M271" s="31">
        <f t="shared" si="219"/>
        <v>8.7108013937282226E-3</v>
      </c>
      <c r="N271" s="31">
        <f t="shared" si="220"/>
        <v>7.5842696629213488E-2</v>
      </c>
      <c r="O271" s="43">
        <f t="shared" si="221"/>
        <v>16.135458167330679</v>
      </c>
      <c r="P271" s="49">
        <f t="shared" si="222"/>
        <v>4.9180327868852458E-2</v>
      </c>
      <c r="Q271" s="47">
        <f t="shared" si="223"/>
        <v>115.33864541832671</v>
      </c>
      <c r="R271" s="66">
        <f t="shared" si="224"/>
        <v>104.78065630397236</v>
      </c>
      <c r="S271" s="92">
        <f t="shared" si="217"/>
        <v>5.7768924302788847</v>
      </c>
      <c r="T271" s="93">
        <f t="shared" si="225"/>
        <v>0.59760956175298807</v>
      </c>
      <c r="V271" s="98" t="str">
        <f t="shared" si="226"/>
        <v>BC</v>
      </c>
      <c r="W271" s="100">
        <f t="shared" si="227"/>
        <v>8.1235322086141029</v>
      </c>
      <c r="X271" s="103">
        <f t="shared" si="228"/>
        <v>5.2714297663319998E-3</v>
      </c>
    </row>
    <row r="272" spans="2:24" x14ac:dyDescent="0.3">
      <c r="B272" s="5" t="s">
        <v>3</v>
      </c>
      <c r="C272" s="1">
        <v>2562</v>
      </c>
      <c r="D272" s="14">
        <v>4.34</v>
      </c>
      <c r="E272" s="1">
        <v>1347</v>
      </c>
      <c r="F272" s="1">
        <v>51</v>
      </c>
      <c r="G272" s="1">
        <v>96897</v>
      </c>
      <c r="H272" s="1">
        <f t="shared" si="218"/>
        <v>1164</v>
      </c>
      <c r="I272" s="1"/>
      <c r="J272" s="1"/>
      <c r="K272" s="21">
        <f t="shared" si="215"/>
        <v>22326.497695852537</v>
      </c>
      <c r="L272" s="21">
        <f t="shared" si="216"/>
        <v>590.32258064516134</v>
      </c>
      <c r="M272" s="31">
        <f t="shared" si="219"/>
        <v>-4.8242027800490597E-2</v>
      </c>
      <c r="N272" s="31">
        <f t="shared" si="220"/>
        <v>3.6480686695278972E-2</v>
      </c>
      <c r="O272" s="43">
        <f t="shared" si="221"/>
        <v>11.751152073732719</v>
      </c>
      <c r="P272" s="49">
        <f t="shared" si="222"/>
        <v>1.9906323185011711E-2</v>
      </c>
      <c r="Q272" s="47">
        <f t="shared" si="223"/>
        <v>268.20276497695852</v>
      </c>
      <c r="R272" s="66">
        <f t="shared" si="224"/>
        <v>83.244845360824741</v>
      </c>
      <c r="S272" s="92">
        <f t="shared" si="217"/>
        <v>38.018433179723502</v>
      </c>
      <c r="T272" s="93">
        <f t="shared" si="225"/>
        <v>0.2304147465437788</v>
      </c>
      <c r="V272" s="98" t="str">
        <f t="shared" si="226"/>
        <v>AL</v>
      </c>
      <c r="W272" s="100">
        <f t="shared" si="227"/>
        <v>24.654195036648439</v>
      </c>
      <c r="X272" s="103">
        <f t="shared" si="228"/>
        <v>5.134087874402277E-3</v>
      </c>
    </row>
    <row r="273" spans="2:24" x14ac:dyDescent="0.3">
      <c r="B273" s="5" t="s">
        <v>4</v>
      </c>
      <c r="C273" s="1">
        <v>253</v>
      </c>
      <c r="D273" s="14">
        <v>1.36</v>
      </c>
      <c r="E273" s="1">
        <v>140</v>
      </c>
      <c r="F273" s="1">
        <v>5</v>
      </c>
      <c r="G273" s="1">
        <v>19193</v>
      </c>
      <c r="H273" s="1">
        <f t="shared" si="218"/>
        <v>108</v>
      </c>
      <c r="I273" s="1"/>
      <c r="J273" s="1"/>
      <c r="K273" s="21">
        <f t="shared" si="215"/>
        <v>14112.499999999998</v>
      </c>
      <c r="L273" s="21">
        <f t="shared" si="216"/>
        <v>186.02941176470586</v>
      </c>
      <c r="M273" s="31">
        <f t="shared" si="219"/>
        <v>-4.4247787610619468E-2</v>
      </c>
      <c r="N273" s="31">
        <f t="shared" si="220"/>
        <v>3.4482758620689655E-2</v>
      </c>
      <c r="O273" s="43">
        <f t="shared" si="221"/>
        <v>3.6764705882352939</v>
      </c>
      <c r="P273" s="49">
        <f t="shared" si="222"/>
        <v>1.9762845849802372E-2</v>
      </c>
      <c r="Q273" s="47">
        <f t="shared" si="223"/>
        <v>79.411764705882348</v>
      </c>
      <c r="R273" s="66">
        <f t="shared" si="224"/>
        <v>177.71296296296296</v>
      </c>
      <c r="S273" s="92">
        <f t="shared" si="217"/>
        <v>2.2058823529411762</v>
      </c>
      <c r="T273" s="93">
        <f t="shared" si="225"/>
        <v>0</v>
      </c>
      <c r="V273" s="98" t="str">
        <f t="shared" si="226"/>
        <v>MA</v>
      </c>
      <c r="W273" s="100">
        <f t="shared" si="227"/>
        <v>69.84949673202614</v>
      </c>
      <c r="X273" s="103">
        <f t="shared" si="228"/>
        <v>2.5596003529655643E-3</v>
      </c>
    </row>
    <row r="274" spans="2:24" x14ac:dyDescent="0.3">
      <c r="B274" s="5" t="s">
        <v>5</v>
      </c>
      <c r="C274" s="1">
        <v>313</v>
      </c>
      <c r="D274" s="14">
        <v>1.17</v>
      </c>
      <c r="E274" s="1">
        <v>234</v>
      </c>
      <c r="F274" s="1">
        <v>4</v>
      </c>
      <c r="G274" s="1">
        <v>23092</v>
      </c>
      <c r="H274" s="1">
        <f t="shared" si="218"/>
        <v>75</v>
      </c>
      <c r="I274" s="1"/>
      <c r="J274" s="1"/>
      <c r="K274" s="21">
        <f t="shared" si="215"/>
        <v>19736.752136752137</v>
      </c>
      <c r="L274" s="21">
        <f t="shared" si="216"/>
        <v>267.52136752136755</v>
      </c>
      <c r="M274" s="31">
        <f t="shared" si="219"/>
        <v>0</v>
      </c>
      <c r="N274" s="31">
        <f t="shared" si="220"/>
        <v>1.680672268907563E-2</v>
      </c>
      <c r="O274" s="43">
        <f t="shared" si="221"/>
        <v>3.4188034188034191</v>
      </c>
      <c r="P274" s="49">
        <f t="shared" si="222"/>
        <v>1.2779552715654952E-2</v>
      </c>
      <c r="Q274" s="47">
        <f t="shared" si="223"/>
        <v>64.102564102564102</v>
      </c>
      <c r="R274" s="66">
        <f t="shared" si="224"/>
        <v>307.89333333333332</v>
      </c>
      <c r="S274" s="92">
        <f t="shared" si="217"/>
        <v>5.1282051282051286</v>
      </c>
      <c r="T274" s="93">
        <f t="shared" si="225"/>
        <v>0</v>
      </c>
      <c r="V274" s="98" t="str">
        <f t="shared" si="226"/>
        <v>SA</v>
      </c>
      <c r="W274" s="100">
        <f t="shared" si="227"/>
        <v>115.92685481956315</v>
      </c>
      <c r="X274" s="103">
        <f t="shared" si="228"/>
        <v>2.6319479252278582E-3</v>
      </c>
    </row>
    <row r="275" spans="2:24" x14ac:dyDescent="0.3">
      <c r="B275" s="5" t="s">
        <v>6</v>
      </c>
      <c r="C275" s="1">
        <v>649</v>
      </c>
      <c r="D275" s="14">
        <v>0.96499999999999997</v>
      </c>
      <c r="E275" s="1">
        <v>184</v>
      </c>
      <c r="F275" s="1">
        <v>7</v>
      </c>
      <c r="G275" s="1">
        <f>20312+C275</f>
        <v>20961</v>
      </c>
      <c r="H275" s="1">
        <f t="shared" si="218"/>
        <v>458</v>
      </c>
      <c r="I275" s="1"/>
      <c r="J275" s="1"/>
      <c r="K275" s="21">
        <f t="shared" si="215"/>
        <v>21721.243523316061</v>
      </c>
      <c r="L275" s="21">
        <f t="shared" si="216"/>
        <v>672.53886010362692</v>
      </c>
      <c r="M275" s="31">
        <f t="shared" si="219"/>
        <v>7.7647058823529416E-2</v>
      </c>
      <c r="N275" s="31">
        <f t="shared" si="220"/>
        <v>3.6649214659685861E-2</v>
      </c>
      <c r="O275" s="43">
        <f t="shared" si="221"/>
        <v>7.2538860103626943</v>
      </c>
      <c r="P275" s="49">
        <f t="shared" si="222"/>
        <v>1.078582434514638E-2</v>
      </c>
      <c r="Q275" s="47">
        <f t="shared" si="223"/>
        <v>474.61139896373061</v>
      </c>
      <c r="R275" s="66">
        <f t="shared" si="224"/>
        <v>45.766375545851531</v>
      </c>
      <c r="S275" s="92">
        <f t="shared" si="217"/>
        <v>44.559585492227981</v>
      </c>
      <c r="T275" s="93">
        <f t="shared" si="225"/>
        <v>3.1088082901554404</v>
      </c>
      <c r="V275" s="98" t="str">
        <f t="shared" si="226"/>
        <v>NS</v>
      </c>
      <c r="W275" s="100">
        <f t="shared" si="227"/>
        <v>67.642959653636922</v>
      </c>
      <c r="X275" s="103">
        <f t="shared" si="228"/>
        <v>6.0121139360128787E-3</v>
      </c>
    </row>
    <row r="276" spans="2:24" x14ac:dyDescent="0.3">
      <c r="B276" s="5" t="s">
        <v>7</v>
      </c>
      <c r="C276" s="1">
        <v>118</v>
      </c>
      <c r="D276" s="14">
        <v>0.77200000000000002</v>
      </c>
      <c r="E276" s="1">
        <v>87</v>
      </c>
      <c r="F276" s="1">
        <v>0</v>
      </c>
      <c r="G276" s="1">
        <v>10347</v>
      </c>
      <c r="H276" s="1">
        <f t="shared" si="218"/>
        <v>31</v>
      </c>
      <c r="I276" s="1"/>
      <c r="J276" s="1"/>
      <c r="K276" s="21">
        <f t="shared" si="215"/>
        <v>13402.849740932643</v>
      </c>
      <c r="L276" s="21">
        <f t="shared" si="216"/>
        <v>152.84974093264248</v>
      </c>
      <c r="M276" s="31">
        <f t="shared" si="219"/>
        <v>-8.8235294117647065E-2</v>
      </c>
      <c r="N276" s="31">
        <f t="shared" si="220"/>
        <v>0</v>
      </c>
      <c r="O276" s="43">
        <f t="shared" si="221"/>
        <v>0</v>
      </c>
      <c r="P276" s="49">
        <f t="shared" si="222"/>
        <v>0</v>
      </c>
      <c r="Q276" s="47">
        <f t="shared" si="223"/>
        <v>40.155440414507773</v>
      </c>
      <c r="R276" s="66">
        <f t="shared" si="224"/>
        <v>333.77419354838707</v>
      </c>
      <c r="S276" s="92">
        <f t="shared" si="217"/>
        <v>1.2953367875647668</v>
      </c>
      <c r="T276" s="93">
        <f t="shared" si="225"/>
        <v>0</v>
      </c>
      <c r="V276" s="98" t="str">
        <f t="shared" si="226"/>
        <v>NB</v>
      </c>
      <c r="W276" s="100">
        <f t="shared" si="227"/>
        <v>400.84916522740355</v>
      </c>
      <c r="X276" s="103">
        <f t="shared" si="228"/>
        <v>2.214430536963124E-3</v>
      </c>
    </row>
    <row r="277" spans="2:24" x14ac:dyDescent="0.3">
      <c r="B277" s="5" t="s">
        <v>18</v>
      </c>
      <c r="C277" s="9">
        <v>26</v>
      </c>
      <c r="D277" s="15">
        <v>0.154</v>
      </c>
      <c r="E277" s="9">
        <v>23</v>
      </c>
      <c r="F277" s="9">
        <v>0</v>
      </c>
      <c r="G277" s="9">
        <v>2267</v>
      </c>
      <c r="H277" s="1">
        <f t="shared" si="218"/>
        <v>3</v>
      </c>
      <c r="I277" s="9"/>
      <c r="J277" s="9"/>
      <c r="K277" s="22">
        <f t="shared" si="215"/>
        <v>14720.779220779221</v>
      </c>
      <c r="L277" s="22">
        <f t="shared" si="216"/>
        <v>168.83116883116884</v>
      </c>
      <c r="M277" s="31">
        <f t="shared" si="219"/>
        <v>0</v>
      </c>
      <c r="N277" s="31">
        <f t="shared" si="220"/>
        <v>0</v>
      </c>
      <c r="O277" s="44">
        <f t="shared" si="221"/>
        <v>0</v>
      </c>
      <c r="P277" s="49">
        <f t="shared" si="222"/>
        <v>0</v>
      </c>
      <c r="Q277" s="47">
        <f t="shared" si="223"/>
        <v>19.480519480519479</v>
      </c>
      <c r="R277" s="66">
        <f t="shared" si="224"/>
        <v>755.66666666666663</v>
      </c>
      <c r="S277" s="92">
        <f t="shared" si="217"/>
        <v>0</v>
      </c>
      <c r="T277" s="93">
        <f t="shared" si="225"/>
        <v>0</v>
      </c>
      <c r="V277" s="98" t="str">
        <f t="shared" si="226"/>
        <v>PEI</v>
      </c>
      <c r="W277" s="100">
        <f t="shared" si="227"/>
        <v>400.93795093795092</v>
      </c>
      <c r="X277" s="103">
        <f t="shared" si="228"/>
        <v>2.2269800748951187E-3</v>
      </c>
    </row>
    <row r="278" spans="2:24" ht="15" thickBot="1" x14ac:dyDescent="0.35">
      <c r="B278" s="5" t="s">
        <v>11</v>
      </c>
      <c r="C278" s="9">
        <v>256</v>
      </c>
      <c r="D278" s="15">
        <v>0.52400000000000002</v>
      </c>
      <c r="E278" s="9">
        <v>189</v>
      </c>
      <c r="F278" s="9">
        <v>3</v>
      </c>
      <c r="G278" s="9">
        <v>5871</v>
      </c>
      <c r="H278" s="9">
        <f t="shared" si="218"/>
        <v>64</v>
      </c>
      <c r="I278" s="9"/>
      <c r="J278" s="9"/>
      <c r="K278" s="22">
        <f t="shared" si="215"/>
        <v>11204.198473282442</v>
      </c>
      <c r="L278" s="22">
        <f t="shared" si="216"/>
        <v>488.54961832061065</v>
      </c>
      <c r="M278" s="31">
        <f t="shared" si="219"/>
        <v>-0.16883116883116883</v>
      </c>
      <c r="N278" s="32">
        <f t="shared" si="220"/>
        <v>1.5625E-2</v>
      </c>
      <c r="O278" s="44">
        <f t="shared" si="221"/>
        <v>5.7251908396946565</v>
      </c>
      <c r="P278" s="50">
        <f t="shared" si="222"/>
        <v>1.171875E-2</v>
      </c>
      <c r="Q278" s="48">
        <f t="shared" si="223"/>
        <v>122.13740458015266</v>
      </c>
      <c r="R278" s="67">
        <f t="shared" si="224"/>
        <v>91.734375</v>
      </c>
      <c r="S278" s="92">
        <f t="shared" si="217"/>
        <v>0</v>
      </c>
      <c r="T278" s="93">
        <f t="shared" si="225"/>
        <v>0</v>
      </c>
      <c r="V278" s="99" t="str">
        <f t="shared" si="226"/>
        <v>NFLD</v>
      </c>
      <c r="W278" s="107">
        <f t="shared" si="227"/>
        <v>77.238608990670059</v>
      </c>
      <c r="X278" s="103">
        <f t="shared" si="228"/>
        <v>8.4668601891011355E-3</v>
      </c>
    </row>
    <row r="279" spans="2:24" ht="15" thickBot="1" x14ac:dyDescent="0.35">
      <c r="B279" s="11" t="s">
        <v>10</v>
      </c>
      <c r="C279" s="12">
        <v>33383</v>
      </c>
      <c r="D279" s="16">
        <v>37.6</v>
      </c>
      <c r="E279" s="12">
        <v>11207</v>
      </c>
      <c r="F279" s="12">
        <v>1470</v>
      </c>
      <c r="G279" s="12">
        <f>SUM(G269:G278)</f>
        <v>547575</v>
      </c>
      <c r="H279" s="81">
        <f t="shared" si="218"/>
        <v>20706</v>
      </c>
      <c r="I279" s="111"/>
      <c r="J279" s="111"/>
      <c r="K279" s="77">
        <f t="shared" si="215"/>
        <v>14563.16489361702</v>
      </c>
      <c r="L279" s="23">
        <f t="shared" si="216"/>
        <v>887.845744680851</v>
      </c>
      <c r="M279" s="31">
        <f t="shared" si="219"/>
        <v>3.1483511009265719E-2</v>
      </c>
      <c r="N279" s="33">
        <f t="shared" si="220"/>
        <v>0.11595803423522916</v>
      </c>
      <c r="O279" s="45">
        <f>F279/D279</f>
        <v>39.095744680851062</v>
      </c>
      <c r="P279" s="53">
        <f t="shared" si="222"/>
        <v>4.4034388760746487E-2</v>
      </c>
      <c r="Q279" s="55">
        <f t="shared" si="223"/>
        <v>550.69148936170211</v>
      </c>
      <c r="R279" s="74">
        <f t="shared" si="224"/>
        <v>26.445233265720081</v>
      </c>
      <c r="S279" s="92">
        <f t="shared" si="217"/>
        <v>38.723404255319146</v>
      </c>
      <c r="T279" s="93">
        <f t="shared" si="225"/>
        <v>4.2553191489361701</v>
      </c>
      <c r="V279" s="108" t="str">
        <f t="shared" si="226"/>
        <v>Canada</v>
      </c>
      <c r="W279" s="109">
        <f t="shared" si="227"/>
        <v>7.8368236220526706</v>
      </c>
      <c r="X279" s="103">
        <f t="shared" si="228"/>
        <v>1.1837943262411346E-2</v>
      </c>
    </row>
    <row r="280" spans="2:24" ht="15" thickBot="1" x14ac:dyDescent="0.35">
      <c r="B280" s="6" t="s">
        <v>9</v>
      </c>
      <c r="C280" s="7">
        <v>722182</v>
      </c>
      <c r="D280" s="7">
        <v>327</v>
      </c>
      <c r="E280" s="7">
        <f>68285*0.9</f>
        <v>61456.5</v>
      </c>
      <c r="F280" s="7">
        <v>39014</v>
      </c>
      <c r="G280" s="7">
        <v>3698534</v>
      </c>
      <c r="H280" s="82">
        <f t="shared" si="218"/>
        <v>621711.5</v>
      </c>
      <c r="I280" s="112"/>
      <c r="J280" s="112"/>
      <c r="K280" s="78">
        <f t="shared" si="215"/>
        <v>11310.501529051988</v>
      </c>
      <c r="L280" s="24">
        <f t="shared" si="216"/>
        <v>2208.5076452599387</v>
      </c>
      <c r="M280" s="31">
        <f t="shared" si="219"/>
        <v>3.8267559790713716E-2</v>
      </c>
      <c r="N280" s="33">
        <f t="shared" si="220"/>
        <v>0.38831298739430975</v>
      </c>
      <c r="O280" s="46">
        <f>F280/D280</f>
        <v>119.30886850152905</v>
      </c>
      <c r="P280" s="52">
        <f t="shared" si="222"/>
        <v>5.4022393247131609E-2</v>
      </c>
      <c r="Q280" s="54">
        <f t="shared" si="223"/>
        <v>1901.2584097859328</v>
      </c>
      <c r="R280" s="72">
        <f t="shared" si="224"/>
        <v>5.9489554238581723</v>
      </c>
      <c r="S280" s="92">
        <f t="shared" si="217"/>
        <v>84.59327217125383</v>
      </c>
      <c r="T280" s="93">
        <f t="shared" si="225"/>
        <v>7.4556574923547396</v>
      </c>
      <c r="V280" s="108" t="str">
        <f t="shared" si="226"/>
        <v>USA</v>
      </c>
      <c r="W280" s="109">
        <f t="shared" si="227"/>
        <v>13.045239906729339</v>
      </c>
      <c r="X280" s="103">
        <f t="shared" si="228"/>
        <v>3.7915042551822341E-2</v>
      </c>
    </row>
    <row r="281" spans="2:24" ht="15" thickBot="1" x14ac:dyDescent="0.35"/>
    <row r="282" spans="2:24" ht="28.8" x14ac:dyDescent="0.3">
      <c r="B282" s="17">
        <v>43922</v>
      </c>
      <c r="C282" s="18" t="s">
        <v>8</v>
      </c>
      <c r="D282" s="19" t="s">
        <v>17</v>
      </c>
      <c r="E282" s="19" t="s">
        <v>15</v>
      </c>
      <c r="F282" s="19" t="s">
        <v>16</v>
      </c>
      <c r="G282" s="19" t="s">
        <v>14</v>
      </c>
      <c r="H282" s="19" t="s">
        <v>38</v>
      </c>
      <c r="I282" s="19"/>
      <c r="J282" s="19"/>
      <c r="K282" s="19" t="s">
        <v>21</v>
      </c>
      <c r="L282" s="19" t="s">
        <v>20</v>
      </c>
      <c r="M282" s="19" t="s">
        <v>40</v>
      </c>
      <c r="N282" s="19" t="s">
        <v>32</v>
      </c>
      <c r="O282" s="19" t="s">
        <v>22</v>
      </c>
      <c r="P282" s="51" t="s">
        <v>34</v>
      </c>
      <c r="Q282" s="20" t="s">
        <v>35</v>
      </c>
      <c r="R282" s="63" t="s">
        <v>39</v>
      </c>
      <c r="S282" s="91" t="s">
        <v>43</v>
      </c>
      <c r="T282" s="91" t="s">
        <v>44</v>
      </c>
    </row>
    <row r="283" spans="2:24" x14ac:dyDescent="0.3">
      <c r="B283" s="3" t="s">
        <v>0</v>
      </c>
      <c r="C283" s="1">
        <v>11184</v>
      </c>
      <c r="D283" s="14">
        <v>14.45</v>
      </c>
      <c r="E283" s="1">
        <v>5515</v>
      </c>
      <c r="F283" s="1">
        <v>584</v>
      </c>
      <c r="G283" s="1">
        <v>164840</v>
      </c>
      <c r="H283" s="1">
        <f>C283-E283-F283</f>
        <v>5085</v>
      </c>
      <c r="I283" s="1"/>
      <c r="J283" s="1"/>
      <c r="K283" s="21">
        <f t="shared" ref="K283:K294" si="229">G283/D283</f>
        <v>11407.612456747405</v>
      </c>
      <c r="L283" s="21">
        <f t="shared" ref="L283:L294" si="230">C283/D283</f>
        <v>773.97923875432525</v>
      </c>
      <c r="M283" s="31">
        <f>(H283-H269)/H269</f>
        <v>0.1107470511140236</v>
      </c>
      <c r="N283" s="31">
        <f>F283/(E283+F283)</f>
        <v>9.5753402197081491E-2</v>
      </c>
      <c r="O283" s="43">
        <f>F283/D283</f>
        <v>40.415224913494811</v>
      </c>
      <c r="P283" s="49">
        <f>F283/C283</f>
        <v>5.2217453505007151E-2</v>
      </c>
      <c r="Q283" s="47">
        <f>(C283-E283-F283)/D283</f>
        <v>351.90311418685121</v>
      </c>
      <c r="R283" s="66">
        <f>G283/H283</f>
        <v>32.416912487708949</v>
      </c>
      <c r="S283" s="92">
        <f>(C283-C269)/D283/2</f>
        <v>40.622837370242216</v>
      </c>
      <c r="T283" s="93">
        <f>(F283-F269)/D283/2</f>
        <v>2.4221453287197234</v>
      </c>
    </row>
    <row r="284" spans="2:24" x14ac:dyDescent="0.3">
      <c r="B284" s="5" t="s">
        <v>1</v>
      </c>
      <c r="C284" s="1">
        <v>19319</v>
      </c>
      <c r="D284" s="14">
        <v>8.43</v>
      </c>
      <c r="E284" s="1">
        <v>3847</v>
      </c>
      <c r="F284" s="1">
        <v>939</v>
      </c>
      <c r="G284" s="1">
        <v>170772</v>
      </c>
      <c r="H284" s="1">
        <f t="shared" ref="H284:H294" si="231">C284-E284-F284</f>
        <v>14533</v>
      </c>
      <c r="I284" s="1"/>
      <c r="J284" s="1"/>
      <c r="K284" s="21">
        <f t="shared" si="229"/>
        <v>20257.651245551602</v>
      </c>
      <c r="L284" s="21">
        <f t="shared" si="230"/>
        <v>2291.696322657177</v>
      </c>
      <c r="M284" s="31">
        <f t="shared" ref="M284:M294" si="232">(H284-H270)/H270</f>
        <v>8.4471308111334978E-2</v>
      </c>
      <c r="N284" s="31">
        <f t="shared" ref="N284:N294" si="233">F284/(E284+F284)</f>
        <v>0.19619724195570415</v>
      </c>
      <c r="O284" s="43">
        <f t="shared" ref="O284:O292" si="234">F284/D284</f>
        <v>111.38790035587189</v>
      </c>
      <c r="P284" s="49">
        <f t="shared" ref="P284:P294" si="235">F284/C284</f>
        <v>4.8605000258812571E-2</v>
      </c>
      <c r="Q284" s="47">
        <f t="shared" ref="Q284:Q294" si="236">(C284-E284-F284)/D284</f>
        <v>1723.9620403321471</v>
      </c>
      <c r="R284" s="66">
        <f t="shared" ref="R284:R294" si="237">G284/H284</f>
        <v>11.750636482488131</v>
      </c>
      <c r="S284" s="92">
        <f t="shared" ref="S284:S294" si="238">(C284-C270)/D284/2</f>
        <v>106.64294187425861</v>
      </c>
      <c r="T284" s="93">
        <f t="shared" ref="T284:T294" si="239">(F284-F270)/D284/2</f>
        <v>7.9478054567022545</v>
      </c>
    </row>
    <row r="285" spans="2:24" x14ac:dyDescent="0.3">
      <c r="B285" s="5" t="s">
        <v>2</v>
      </c>
      <c r="C285" s="1">
        <v>1699</v>
      </c>
      <c r="D285" s="14">
        <v>5.0199999999999996</v>
      </c>
      <c r="E285" s="1">
        <v>1039</v>
      </c>
      <c r="F285" s="1">
        <v>86</v>
      </c>
      <c r="G285" s="1">
        <v>60668</v>
      </c>
      <c r="H285" s="1">
        <f t="shared" si="231"/>
        <v>574</v>
      </c>
      <c r="I285" s="1"/>
      <c r="J285" s="1"/>
      <c r="K285" s="21">
        <f t="shared" si="229"/>
        <v>12085.258964143428</v>
      </c>
      <c r="L285" s="21">
        <f t="shared" si="230"/>
        <v>338.44621513944224</v>
      </c>
      <c r="M285" s="31">
        <f t="shared" si="232"/>
        <v>-8.6355785837651123E-3</v>
      </c>
      <c r="N285" s="31">
        <f t="shared" si="233"/>
        <v>7.644444444444444E-2</v>
      </c>
      <c r="O285" s="43">
        <f t="shared" si="234"/>
        <v>17.13147410358566</v>
      </c>
      <c r="P285" s="49">
        <f t="shared" si="235"/>
        <v>5.0618010594467334E-2</v>
      </c>
      <c r="Q285" s="47">
        <f t="shared" si="236"/>
        <v>114.34262948207173</v>
      </c>
      <c r="R285" s="66">
        <f t="shared" si="237"/>
        <v>105.69337979094077</v>
      </c>
      <c r="S285" s="92">
        <f t="shared" si="238"/>
        <v>5.1792828685258971</v>
      </c>
      <c r="T285" s="93">
        <f t="shared" si="239"/>
        <v>0.4980079681274901</v>
      </c>
    </row>
    <row r="286" spans="2:24" x14ac:dyDescent="0.3">
      <c r="B286" s="5" t="s">
        <v>3</v>
      </c>
      <c r="C286" s="1">
        <v>2908</v>
      </c>
      <c r="D286" s="14">
        <v>4.34</v>
      </c>
      <c r="E286" s="1">
        <v>1230</v>
      </c>
      <c r="F286" s="1">
        <v>59</v>
      </c>
      <c r="G286" s="1">
        <v>105317</v>
      </c>
      <c r="H286" s="1">
        <f t="shared" si="231"/>
        <v>1619</v>
      </c>
      <c r="I286" s="1"/>
      <c r="J286" s="1"/>
      <c r="K286" s="21">
        <f t="shared" si="229"/>
        <v>24266.589861751152</v>
      </c>
      <c r="L286" s="21">
        <f t="shared" si="230"/>
        <v>670.04608294930881</v>
      </c>
      <c r="M286" s="31">
        <f t="shared" si="232"/>
        <v>0.39089347079037801</v>
      </c>
      <c r="N286" s="31">
        <f t="shared" si="233"/>
        <v>4.5771916214119475E-2</v>
      </c>
      <c r="O286" s="43">
        <f t="shared" si="234"/>
        <v>13.59447004608295</v>
      </c>
      <c r="P286" s="49">
        <f t="shared" si="235"/>
        <v>2.02888583218707E-2</v>
      </c>
      <c r="Q286" s="47">
        <f t="shared" si="236"/>
        <v>373.04147465437791</v>
      </c>
      <c r="R286" s="66">
        <f t="shared" si="237"/>
        <v>65.05064854848672</v>
      </c>
      <c r="S286" s="92">
        <f t="shared" si="238"/>
        <v>39.861751152073737</v>
      </c>
      <c r="T286" s="93">
        <f t="shared" si="239"/>
        <v>0.92165898617511521</v>
      </c>
    </row>
    <row r="287" spans="2:24" x14ac:dyDescent="0.3">
      <c r="B287" s="5" t="s">
        <v>4</v>
      </c>
      <c r="C287" s="1">
        <v>254</v>
      </c>
      <c r="D287" s="14">
        <v>1.36</v>
      </c>
      <c r="E287" s="1">
        <v>144</v>
      </c>
      <c r="F287" s="1">
        <v>6</v>
      </c>
      <c r="G287" s="1">
        <v>20012</v>
      </c>
      <c r="H287" s="1">
        <f t="shared" si="231"/>
        <v>104</v>
      </c>
      <c r="I287" s="1"/>
      <c r="J287" s="1"/>
      <c r="K287" s="21">
        <f t="shared" si="229"/>
        <v>14714.705882352941</v>
      </c>
      <c r="L287" s="21">
        <f t="shared" si="230"/>
        <v>186.76470588235293</v>
      </c>
      <c r="M287" s="31">
        <f t="shared" si="232"/>
        <v>-3.7037037037037035E-2</v>
      </c>
      <c r="N287" s="31">
        <f t="shared" si="233"/>
        <v>0.04</v>
      </c>
      <c r="O287" s="43">
        <f t="shared" si="234"/>
        <v>4.4117647058823524</v>
      </c>
      <c r="P287" s="49">
        <f t="shared" si="235"/>
        <v>2.3622047244094488E-2</v>
      </c>
      <c r="Q287" s="47">
        <f t="shared" si="236"/>
        <v>76.470588235294116</v>
      </c>
      <c r="R287" s="66">
        <f t="shared" si="237"/>
        <v>192.42307692307693</v>
      </c>
      <c r="S287" s="92">
        <f t="shared" si="238"/>
        <v>0.36764705882352938</v>
      </c>
      <c r="T287" s="93">
        <f t="shared" si="239"/>
        <v>0.36764705882352938</v>
      </c>
    </row>
    <row r="288" spans="2:24" x14ac:dyDescent="0.3">
      <c r="B288" s="5" t="s">
        <v>5</v>
      </c>
      <c r="C288" s="1">
        <v>316</v>
      </c>
      <c r="D288" s="14">
        <v>1.17</v>
      </c>
      <c r="E288" s="1">
        <v>238</v>
      </c>
      <c r="F288" s="1">
        <v>4</v>
      </c>
      <c r="G288" s="1">
        <v>24412</v>
      </c>
      <c r="H288" s="1">
        <f t="shared" si="231"/>
        <v>74</v>
      </c>
      <c r="I288" s="1"/>
      <c r="J288" s="1"/>
      <c r="K288" s="21">
        <f t="shared" si="229"/>
        <v>20864.957264957266</v>
      </c>
      <c r="L288" s="21">
        <f t="shared" si="230"/>
        <v>270.08547008547009</v>
      </c>
      <c r="M288" s="31">
        <f t="shared" si="232"/>
        <v>-1.3333333333333334E-2</v>
      </c>
      <c r="N288" s="31">
        <f t="shared" si="233"/>
        <v>1.6528925619834711E-2</v>
      </c>
      <c r="O288" s="43">
        <f t="shared" si="234"/>
        <v>3.4188034188034191</v>
      </c>
      <c r="P288" s="49">
        <f t="shared" si="235"/>
        <v>1.2658227848101266E-2</v>
      </c>
      <c r="Q288" s="47">
        <f t="shared" si="236"/>
        <v>63.247863247863251</v>
      </c>
      <c r="R288" s="66">
        <f t="shared" si="237"/>
        <v>329.89189189189187</v>
      </c>
      <c r="S288" s="92">
        <f t="shared" si="238"/>
        <v>1.2820512820512822</v>
      </c>
      <c r="T288" s="93">
        <f t="shared" si="239"/>
        <v>0</v>
      </c>
    </row>
    <row r="289" spans="2:20" x14ac:dyDescent="0.3">
      <c r="B289" s="5" t="s">
        <v>6</v>
      </c>
      <c r="C289" s="1">
        <v>721</v>
      </c>
      <c r="D289" s="14">
        <v>0.96499999999999997</v>
      </c>
      <c r="E289" s="1">
        <v>248</v>
      </c>
      <c r="F289" s="1">
        <v>9</v>
      </c>
      <c r="G289" s="1">
        <f>21769+C289</f>
        <v>22490</v>
      </c>
      <c r="H289" s="1">
        <f t="shared" si="231"/>
        <v>464</v>
      </c>
      <c r="I289" s="1"/>
      <c r="J289" s="1"/>
      <c r="K289" s="21">
        <f t="shared" si="229"/>
        <v>23305.699481865286</v>
      </c>
      <c r="L289" s="21">
        <f t="shared" si="230"/>
        <v>747.15025906735752</v>
      </c>
      <c r="M289" s="31">
        <f t="shared" si="232"/>
        <v>1.3100436681222707E-2</v>
      </c>
      <c r="N289" s="31">
        <f t="shared" si="233"/>
        <v>3.5019455252918288E-2</v>
      </c>
      <c r="O289" s="43">
        <f t="shared" si="234"/>
        <v>9.3264248704663224</v>
      </c>
      <c r="P289" s="49">
        <f t="shared" si="235"/>
        <v>1.2482662968099861E-2</v>
      </c>
      <c r="Q289" s="47">
        <f t="shared" si="236"/>
        <v>480.82901554404145</v>
      </c>
      <c r="R289" s="66">
        <f t="shared" si="237"/>
        <v>48.469827586206897</v>
      </c>
      <c r="S289" s="92">
        <f t="shared" si="238"/>
        <v>37.30569948186529</v>
      </c>
      <c r="T289" s="93">
        <f t="shared" si="239"/>
        <v>1.0362694300518136</v>
      </c>
    </row>
    <row r="290" spans="2:20" x14ac:dyDescent="0.3">
      <c r="B290" s="5" t="s">
        <v>7</v>
      </c>
      <c r="C290" s="1">
        <v>118</v>
      </c>
      <c r="D290" s="14">
        <v>0.77200000000000002</v>
      </c>
      <c r="E290" s="1">
        <v>98</v>
      </c>
      <c r="F290" s="1">
        <v>0</v>
      </c>
      <c r="G290" s="1">
        <v>10970</v>
      </c>
      <c r="H290" s="1">
        <f t="shared" si="231"/>
        <v>20</v>
      </c>
      <c r="I290" s="1"/>
      <c r="J290" s="1"/>
      <c r="K290" s="21">
        <f t="shared" si="229"/>
        <v>14209.844559585492</v>
      </c>
      <c r="L290" s="21">
        <f t="shared" si="230"/>
        <v>152.84974093264248</v>
      </c>
      <c r="M290" s="31">
        <f t="shared" si="232"/>
        <v>-0.35483870967741937</v>
      </c>
      <c r="N290" s="31">
        <f t="shared" si="233"/>
        <v>0</v>
      </c>
      <c r="O290" s="43">
        <f t="shared" si="234"/>
        <v>0</v>
      </c>
      <c r="P290" s="49">
        <f t="shared" si="235"/>
        <v>0</v>
      </c>
      <c r="Q290" s="47">
        <f t="shared" si="236"/>
        <v>25.906735751295336</v>
      </c>
      <c r="R290" s="66">
        <f t="shared" si="237"/>
        <v>548.5</v>
      </c>
      <c r="S290" s="92">
        <f t="shared" si="238"/>
        <v>0</v>
      </c>
      <c r="T290" s="93">
        <f t="shared" si="239"/>
        <v>0</v>
      </c>
    </row>
    <row r="291" spans="2:20" x14ac:dyDescent="0.3">
      <c r="B291" s="5" t="s">
        <v>18</v>
      </c>
      <c r="C291" s="9">
        <v>26</v>
      </c>
      <c r="D291" s="15">
        <v>0.154</v>
      </c>
      <c r="E291" s="9">
        <v>23</v>
      </c>
      <c r="F291" s="9">
        <v>0</v>
      </c>
      <c r="G291" s="9">
        <v>2373</v>
      </c>
      <c r="H291" s="1">
        <f t="shared" si="231"/>
        <v>3</v>
      </c>
      <c r="I291" s="9"/>
      <c r="J291" s="9"/>
      <c r="K291" s="22">
        <f t="shared" si="229"/>
        <v>15409.09090909091</v>
      </c>
      <c r="L291" s="22">
        <f t="shared" si="230"/>
        <v>168.83116883116884</v>
      </c>
      <c r="M291" s="31">
        <f t="shared" si="232"/>
        <v>0</v>
      </c>
      <c r="N291" s="31">
        <f t="shared" si="233"/>
        <v>0</v>
      </c>
      <c r="O291" s="44">
        <f t="shared" si="234"/>
        <v>0</v>
      </c>
      <c r="P291" s="49">
        <f t="shared" si="235"/>
        <v>0</v>
      </c>
      <c r="Q291" s="47">
        <f t="shared" si="236"/>
        <v>19.480519480519479</v>
      </c>
      <c r="R291" s="66">
        <f t="shared" si="237"/>
        <v>791</v>
      </c>
      <c r="S291" s="92">
        <f t="shared" si="238"/>
        <v>0</v>
      </c>
      <c r="T291" s="93">
        <f t="shared" si="239"/>
        <v>0</v>
      </c>
    </row>
    <row r="292" spans="2:20" ht="15" thickBot="1" x14ac:dyDescent="0.35">
      <c r="B292" s="5" t="s">
        <v>11</v>
      </c>
      <c r="C292" s="9">
        <v>256</v>
      </c>
      <c r="D292" s="15">
        <v>0.52400000000000002</v>
      </c>
      <c r="E292" s="9">
        <v>191</v>
      </c>
      <c r="F292" s="9">
        <v>3</v>
      </c>
      <c r="G292" s="9">
        <v>6249</v>
      </c>
      <c r="H292" s="9">
        <f t="shared" si="231"/>
        <v>62</v>
      </c>
      <c r="I292" s="9"/>
      <c r="J292" s="9"/>
      <c r="K292" s="22">
        <f t="shared" si="229"/>
        <v>11925.572519083969</v>
      </c>
      <c r="L292" s="22">
        <f t="shared" si="230"/>
        <v>488.54961832061065</v>
      </c>
      <c r="M292" s="31">
        <f t="shared" si="232"/>
        <v>-3.125E-2</v>
      </c>
      <c r="N292" s="32">
        <f t="shared" si="233"/>
        <v>1.5463917525773196E-2</v>
      </c>
      <c r="O292" s="44">
        <f t="shared" si="234"/>
        <v>5.7251908396946565</v>
      </c>
      <c r="P292" s="50">
        <f t="shared" si="235"/>
        <v>1.171875E-2</v>
      </c>
      <c r="Q292" s="48">
        <f t="shared" si="236"/>
        <v>118.32061068702289</v>
      </c>
      <c r="R292" s="67">
        <f t="shared" si="237"/>
        <v>100.79032258064517</v>
      </c>
      <c r="S292" s="92">
        <f t="shared" si="238"/>
        <v>0</v>
      </c>
      <c r="T292" s="93">
        <f t="shared" si="239"/>
        <v>0</v>
      </c>
    </row>
    <row r="293" spans="2:20" ht="15" thickBot="1" x14ac:dyDescent="0.35">
      <c r="B293" s="11" t="s">
        <v>10</v>
      </c>
      <c r="C293" s="12">
        <v>36831</v>
      </c>
      <c r="D293" s="16">
        <v>37.6</v>
      </c>
      <c r="E293" s="12">
        <v>12586</v>
      </c>
      <c r="F293" s="12">
        <v>1690</v>
      </c>
      <c r="G293" s="12">
        <f>SUM(G283:G292)</f>
        <v>588103</v>
      </c>
      <c r="H293" s="81">
        <f t="shared" si="231"/>
        <v>22555</v>
      </c>
      <c r="I293" s="111"/>
      <c r="J293" s="111"/>
      <c r="K293" s="77">
        <f t="shared" si="229"/>
        <v>15641.037234042553</v>
      </c>
      <c r="L293" s="23">
        <f t="shared" si="230"/>
        <v>979.54787234042544</v>
      </c>
      <c r="M293" s="31">
        <f t="shared" si="232"/>
        <v>8.9297788080749535E-2</v>
      </c>
      <c r="N293" s="33">
        <f t="shared" si="233"/>
        <v>0.11838049873914262</v>
      </c>
      <c r="O293" s="45">
        <f>F293/D293</f>
        <v>44.946808510638299</v>
      </c>
      <c r="P293" s="53">
        <f t="shared" si="235"/>
        <v>4.5885259699709482E-2</v>
      </c>
      <c r="Q293" s="55">
        <f t="shared" si="236"/>
        <v>599.86702127659578</v>
      </c>
      <c r="R293" s="74">
        <f t="shared" si="237"/>
        <v>26.074174240744846</v>
      </c>
      <c r="S293" s="92">
        <f t="shared" si="238"/>
        <v>45.851063829787229</v>
      </c>
      <c r="T293" s="93">
        <f t="shared" si="239"/>
        <v>2.9255319148936167</v>
      </c>
    </row>
    <row r="294" spans="2:20" ht="15" thickBot="1" x14ac:dyDescent="0.35">
      <c r="B294" s="6" t="s">
        <v>9</v>
      </c>
      <c r="C294" s="7">
        <v>772524</v>
      </c>
      <c r="D294" s="7">
        <v>327</v>
      </c>
      <c r="E294" s="7">
        <v>70389</v>
      </c>
      <c r="F294" s="7">
        <v>42514</v>
      </c>
      <c r="G294" s="7">
        <v>4003551</v>
      </c>
      <c r="H294" s="82">
        <f t="shared" si="231"/>
        <v>659621</v>
      </c>
      <c r="I294" s="112"/>
      <c r="J294" s="112"/>
      <c r="K294" s="78">
        <f t="shared" si="229"/>
        <v>12243.275229357798</v>
      </c>
      <c r="L294" s="24">
        <f t="shared" si="230"/>
        <v>2362.4587155963304</v>
      </c>
      <c r="M294" s="31">
        <f t="shared" si="232"/>
        <v>6.0976031487273437E-2</v>
      </c>
      <c r="N294" s="33">
        <f t="shared" si="233"/>
        <v>0.3765533245352205</v>
      </c>
      <c r="O294" s="46">
        <f>F294/D294</f>
        <v>130.01223241590213</v>
      </c>
      <c r="P294" s="52">
        <f t="shared" si="235"/>
        <v>5.5032594456612349E-2</v>
      </c>
      <c r="Q294" s="54">
        <f t="shared" si="236"/>
        <v>2017.1896024464831</v>
      </c>
      <c r="R294" s="72">
        <f t="shared" si="237"/>
        <v>6.0694717117860106</v>
      </c>
      <c r="S294" s="92">
        <f t="shared" si="238"/>
        <v>76.975535168195719</v>
      </c>
      <c r="T294" s="93">
        <f t="shared" si="239"/>
        <v>5.3516819571865444</v>
      </c>
    </row>
    <row r="295" spans="2:20" ht="15" thickBot="1" x14ac:dyDescent="0.35"/>
    <row r="296" spans="2:20" ht="28.8" x14ac:dyDescent="0.3">
      <c r="B296" s="17">
        <v>44287</v>
      </c>
      <c r="C296" s="18" t="s">
        <v>8</v>
      </c>
      <c r="D296" s="19" t="s">
        <v>17</v>
      </c>
      <c r="E296" s="19" t="s">
        <v>15</v>
      </c>
      <c r="F296" s="19" t="s">
        <v>16</v>
      </c>
      <c r="G296" s="19" t="s">
        <v>14</v>
      </c>
      <c r="H296" s="19" t="s">
        <v>38</v>
      </c>
      <c r="I296" s="19"/>
      <c r="J296" s="19"/>
      <c r="K296" s="19" t="s">
        <v>21</v>
      </c>
      <c r="L296" s="19" t="s">
        <v>20</v>
      </c>
      <c r="M296" s="19" t="s">
        <v>40</v>
      </c>
      <c r="N296" s="19" t="s">
        <v>32</v>
      </c>
      <c r="O296" s="19" t="s">
        <v>22</v>
      </c>
      <c r="P296" s="51" t="s">
        <v>34</v>
      </c>
      <c r="Q296" s="20" t="s">
        <v>35</v>
      </c>
      <c r="R296" s="63" t="s">
        <v>39</v>
      </c>
      <c r="S296" s="91" t="s">
        <v>43</v>
      </c>
      <c r="T296" s="91" t="s">
        <v>44</v>
      </c>
    </row>
    <row r="297" spans="2:20" x14ac:dyDescent="0.3">
      <c r="B297" s="3" t="s">
        <v>0</v>
      </c>
      <c r="C297" s="1">
        <v>11735</v>
      </c>
      <c r="D297" s="14">
        <v>14.45</v>
      </c>
      <c r="E297" s="1">
        <v>5806</v>
      </c>
      <c r="F297" s="1">
        <v>622</v>
      </c>
      <c r="G297" s="1">
        <v>174170</v>
      </c>
      <c r="H297" s="1">
        <f>C297-E297-F297</f>
        <v>5307</v>
      </c>
      <c r="I297" s="1"/>
      <c r="J297" s="1"/>
      <c r="K297" s="21">
        <f t="shared" ref="K297:K308" si="240">G297/D297</f>
        <v>12053.287197231835</v>
      </c>
      <c r="L297" s="21">
        <f t="shared" ref="L297:L308" si="241">C297/D297</f>
        <v>812.1107266435987</v>
      </c>
      <c r="M297" s="31">
        <f>(H297-H283)/H283</f>
        <v>4.3657817109144542E-2</v>
      </c>
      <c r="N297" s="31">
        <f>F297/(E297+F297)</f>
        <v>9.6764156813939017E-2</v>
      </c>
      <c r="O297" s="43">
        <f>F297/D297</f>
        <v>43.044982698961938</v>
      </c>
      <c r="P297" s="49">
        <f>F297/C297</f>
        <v>5.3003834682573497E-2</v>
      </c>
      <c r="Q297" s="47">
        <f>(C297-E297-F297)/D297</f>
        <v>367.26643598615919</v>
      </c>
      <c r="R297" s="66">
        <f>G297/H297</f>
        <v>32.818918409647637</v>
      </c>
      <c r="S297" s="92">
        <f t="shared" ref="S297:S308" si="242">(C297-C283)/D297</f>
        <v>38.131487889273359</v>
      </c>
      <c r="T297" s="93">
        <f>(F297-F283)/D297</f>
        <v>2.6297577854671284</v>
      </c>
    </row>
    <row r="298" spans="2:20" x14ac:dyDescent="0.3">
      <c r="B298" s="5" t="s">
        <v>1</v>
      </c>
      <c r="C298" s="1">
        <v>20126</v>
      </c>
      <c r="D298" s="14">
        <v>8.43</v>
      </c>
      <c r="E298" s="1">
        <v>4048</v>
      </c>
      <c r="F298" s="1">
        <v>1041</v>
      </c>
      <c r="G298" s="1">
        <v>174490</v>
      </c>
      <c r="H298" s="1">
        <f t="shared" ref="H298:H308" si="243">C298-E298-F298</f>
        <v>15037</v>
      </c>
      <c r="I298" s="1"/>
      <c r="J298" s="1"/>
      <c r="K298" s="21">
        <f t="shared" si="240"/>
        <v>20698.695136417558</v>
      </c>
      <c r="L298" s="21">
        <f t="shared" si="241"/>
        <v>2387.4258600237249</v>
      </c>
      <c r="M298" s="31">
        <f t="shared" ref="M298:M308" si="244">(H298-H284)/H284</f>
        <v>3.4679694488405695E-2</v>
      </c>
      <c r="N298" s="31">
        <f t="shared" ref="N298:N308" si="245">F298/(E298+F298)</f>
        <v>0.20455885242680291</v>
      </c>
      <c r="O298" s="43">
        <f t="shared" ref="O298:O306" si="246">F298/D298</f>
        <v>123.48754448398577</v>
      </c>
      <c r="P298" s="49">
        <f t="shared" ref="P298:P308" si="247">F298/C298</f>
        <v>5.1724137931034482E-2</v>
      </c>
      <c r="Q298" s="47">
        <f t="shared" ref="Q298:Q308" si="248">(C298-E298-F298)/D298</f>
        <v>1783.7485172004745</v>
      </c>
      <c r="R298" s="66">
        <f t="shared" ref="R298:R308" si="249">G298/H298</f>
        <v>11.604043359712708</v>
      </c>
      <c r="S298" s="92">
        <f t="shared" si="242"/>
        <v>95.729537366548044</v>
      </c>
      <c r="T298" s="93">
        <f t="shared" ref="T298:T308" si="250">(F298-F284)/D298</f>
        <v>12.09964412811388</v>
      </c>
    </row>
    <row r="299" spans="2:20" x14ac:dyDescent="0.3">
      <c r="B299" s="5" t="s">
        <v>2</v>
      </c>
      <c r="C299" s="1">
        <v>1724</v>
      </c>
      <c r="D299" s="14">
        <v>5.0199999999999996</v>
      </c>
      <c r="E299" s="1">
        <v>1041</v>
      </c>
      <c r="F299" s="1">
        <v>87</v>
      </c>
      <c r="G299" s="1">
        <v>64375</v>
      </c>
      <c r="H299" s="1">
        <f t="shared" si="243"/>
        <v>596</v>
      </c>
      <c r="I299" s="1"/>
      <c r="J299" s="1"/>
      <c r="K299" s="21">
        <f t="shared" si="240"/>
        <v>12823.70517928287</v>
      </c>
      <c r="L299" s="21">
        <f t="shared" si="241"/>
        <v>343.42629482071715</v>
      </c>
      <c r="M299" s="31">
        <f t="shared" si="244"/>
        <v>3.8327526132404179E-2</v>
      </c>
      <c r="N299" s="31">
        <f t="shared" si="245"/>
        <v>7.7127659574468085E-2</v>
      </c>
      <c r="O299" s="43">
        <f t="shared" si="246"/>
        <v>17.330677290836654</v>
      </c>
      <c r="P299" s="49">
        <f t="shared" si="247"/>
        <v>5.0464037122969839E-2</v>
      </c>
      <c r="Q299" s="47">
        <f t="shared" si="248"/>
        <v>118.72509960159364</v>
      </c>
      <c r="R299" s="66">
        <f t="shared" si="249"/>
        <v>108.01174496644295</v>
      </c>
      <c r="S299" s="92">
        <f t="shared" si="242"/>
        <v>4.9800796812749004</v>
      </c>
      <c r="T299" s="93">
        <f t="shared" si="250"/>
        <v>0.19920318725099603</v>
      </c>
    </row>
    <row r="300" spans="2:20" x14ac:dyDescent="0.3">
      <c r="B300" s="5" t="s">
        <v>3</v>
      </c>
      <c r="C300" s="1">
        <v>3095</v>
      </c>
      <c r="D300" s="14">
        <v>4.34</v>
      </c>
      <c r="E300" s="1">
        <v>1273</v>
      </c>
      <c r="F300" s="1">
        <v>61</v>
      </c>
      <c r="G300" s="1">
        <v>109015</v>
      </c>
      <c r="H300" s="1">
        <f t="shared" si="243"/>
        <v>1761</v>
      </c>
      <c r="I300" s="1"/>
      <c r="J300" s="1"/>
      <c r="K300" s="21">
        <f t="shared" si="240"/>
        <v>25118.663594470047</v>
      </c>
      <c r="L300" s="21">
        <f t="shared" si="241"/>
        <v>713.13364055299542</v>
      </c>
      <c r="M300" s="31">
        <f t="shared" si="244"/>
        <v>8.7708462013588631E-2</v>
      </c>
      <c r="N300" s="31">
        <f t="shared" si="245"/>
        <v>4.572713643178411E-2</v>
      </c>
      <c r="O300" s="43">
        <f t="shared" si="246"/>
        <v>14.055299539170507</v>
      </c>
      <c r="P300" s="49">
        <f t="shared" si="247"/>
        <v>1.9709208400646203E-2</v>
      </c>
      <c r="Q300" s="47">
        <f t="shared" si="248"/>
        <v>405.76036866359448</v>
      </c>
      <c r="R300" s="66">
        <f t="shared" si="249"/>
        <v>61.905167518455421</v>
      </c>
      <c r="S300" s="92">
        <f t="shared" si="242"/>
        <v>43.087557603686641</v>
      </c>
      <c r="T300" s="93">
        <f t="shared" si="250"/>
        <v>0.46082949308755761</v>
      </c>
    </row>
    <row r="301" spans="2:20" x14ac:dyDescent="0.3">
      <c r="B301" s="5" t="s">
        <v>4</v>
      </c>
      <c r="C301" s="1">
        <v>255</v>
      </c>
      <c r="D301" s="14">
        <v>1.36</v>
      </c>
      <c r="E301" s="1">
        <v>150</v>
      </c>
      <c r="F301" s="1">
        <v>6</v>
      </c>
      <c r="G301" s="1">
        <v>20319</v>
      </c>
      <c r="H301" s="1">
        <f t="shared" si="243"/>
        <v>99</v>
      </c>
      <c r="I301" s="1"/>
      <c r="J301" s="1"/>
      <c r="K301" s="21">
        <f t="shared" si="240"/>
        <v>14940.441176470587</v>
      </c>
      <c r="L301" s="21">
        <f t="shared" si="241"/>
        <v>187.5</v>
      </c>
      <c r="M301" s="31">
        <f t="shared" si="244"/>
        <v>-4.807692307692308E-2</v>
      </c>
      <c r="N301" s="31">
        <f t="shared" si="245"/>
        <v>3.8461538461538464E-2</v>
      </c>
      <c r="O301" s="43">
        <f t="shared" si="246"/>
        <v>4.4117647058823524</v>
      </c>
      <c r="P301" s="49">
        <f t="shared" si="247"/>
        <v>2.3529411764705882E-2</v>
      </c>
      <c r="Q301" s="47">
        <f t="shared" si="248"/>
        <v>72.794117647058812</v>
      </c>
      <c r="R301" s="66">
        <f t="shared" si="249"/>
        <v>205.24242424242425</v>
      </c>
      <c r="S301" s="92">
        <f t="shared" si="242"/>
        <v>0.73529411764705876</v>
      </c>
      <c r="T301" s="93">
        <f t="shared" si="250"/>
        <v>0</v>
      </c>
    </row>
    <row r="302" spans="2:20" x14ac:dyDescent="0.3">
      <c r="B302" s="5" t="s">
        <v>5</v>
      </c>
      <c r="C302" s="1">
        <v>320</v>
      </c>
      <c r="D302" s="14">
        <v>1.17</v>
      </c>
      <c r="E302" s="1">
        <v>252</v>
      </c>
      <c r="F302" s="1">
        <v>4</v>
      </c>
      <c r="G302" s="1">
        <v>24811</v>
      </c>
      <c r="H302" s="1">
        <f t="shared" si="243"/>
        <v>64</v>
      </c>
      <c r="I302" s="1"/>
      <c r="J302" s="1"/>
      <c r="K302" s="21">
        <f t="shared" si="240"/>
        <v>21205.982905982906</v>
      </c>
      <c r="L302" s="21">
        <f t="shared" si="241"/>
        <v>273.5042735042735</v>
      </c>
      <c r="M302" s="31">
        <f t="shared" si="244"/>
        <v>-0.13513513513513514</v>
      </c>
      <c r="N302" s="31">
        <f t="shared" si="245"/>
        <v>1.5625E-2</v>
      </c>
      <c r="O302" s="43">
        <f t="shared" si="246"/>
        <v>3.4188034188034191</v>
      </c>
      <c r="P302" s="49">
        <f t="shared" si="247"/>
        <v>1.2500000000000001E-2</v>
      </c>
      <c r="Q302" s="47">
        <f t="shared" si="248"/>
        <v>54.700854700854705</v>
      </c>
      <c r="R302" s="66">
        <f t="shared" si="249"/>
        <v>387.671875</v>
      </c>
      <c r="S302" s="92">
        <f t="shared" si="242"/>
        <v>3.4188034188034191</v>
      </c>
      <c r="T302" s="93">
        <f t="shared" si="250"/>
        <v>0</v>
      </c>
    </row>
    <row r="303" spans="2:20" x14ac:dyDescent="0.3">
      <c r="B303" s="5" t="s">
        <v>6</v>
      </c>
      <c r="C303" s="1">
        <v>737</v>
      </c>
      <c r="D303" s="14">
        <v>0.96499999999999997</v>
      </c>
      <c r="E303" s="1">
        <v>286</v>
      </c>
      <c r="F303" s="1">
        <v>10</v>
      </c>
      <c r="G303" s="1">
        <f>22190+C303</f>
        <v>22927</v>
      </c>
      <c r="H303" s="1">
        <f t="shared" si="243"/>
        <v>441</v>
      </c>
      <c r="I303" s="1"/>
      <c r="J303" s="1"/>
      <c r="K303" s="21">
        <f t="shared" si="240"/>
        <v>23758.549222797927</v>
      </c>
      <c r="L303" s="21">
        <f t="shared" si="241"/>
        <v>763.7305699481866</v>
      </c>
      <c r="M303" s="31">
        <f t="shared" si="244"/>
        <v>-4.9568965517241381E-2</v>
      </c>
      <c r="N303" s="31">
        <f t="shared" si="245"/>
        <v>3.3783783783783786E-2</v>
      </c>
      <c r="O303" s="43">
        <f t="shared" si="246"/>
        <v>10.362694300518134</v>
      </c>
      <c r="P303" s="49">
        <f t="shared" si="247"/>
        <v>1.3568521031207599E-2</v>
      </c>
      <c r="Q303" s="47">
        <f t="shared" si="248"/>
        <v>456.99481865284974</v>
      </c>
      <c r="R303" s="66">
        <f t="shared" si="249"/>
        <v>51.988662131519277</v>
      </c>
      <c r="S303" s="92">
        <f t="shared" si="242"/>
        <v>16.580310880829018</v>
      </c>
      <c r="T303" s="93">
        <f t="shared" si="250"/>
        <v>1.0362694300518136</v>
      </c>
    </row>
    <row r="304" spans="2:20" x14ac:dyDescent="0.3">
      <c r="B304" s="5" t="s">
        <v>7</v>
      </c>
      <c r="C304" s="1">
        <v>118</v>
      </c>
      <c r="D304" s="14">
        <v>0.77200000000000002</v>
      </c>
      <c r="E304" s="1">
        <v>102</v>
      </c>
      <c r="F304" s="1">
        <v>0</v>
      </c>
      <c r="G304" s="1">
        <v>11281</v>
      </c>
      <c r="H304" s="1">
        <f t="shared" si="243"/>
        <v>16</v>
      </c>
      <c r="I304" s="1"/>
      <c r="J304" s="1"/>
      <c r="K304" s="21">
        <f t="shared" si="240"/>
        <v>14612.694300518135</v>
      </c>
      <c r="L304" s="21">
        <f t="shared" si="241"/>
        <v>152.84974093264248</v>
      </c>
      <c r="M304" s="31">
        <f t="shared" si="244"/>
        <v>-0.2</v>
      </c>
      <c r="N304" s="31">
        <f t="shared" si="245"/>
        <v>0</v>
      </c>
      <c r="O304" s="43">
        <f t="shared" si="246"/>
        <v>0</v>
      </c>
      <c r="P304" s="49">
        <f t="shared" si="247"/>
        <v>0</v>
      </c>
      <c r="Q304" s="47">
        <f t="shared" si="248"/>
        <v>20.725388601036268</v>
      </c>
      <c r="R304" s="66">
        <f t="shared" si="249"/>
        <v>705.0625</v>
      </c>
      <c r="S304" s="92">
        <f t="shared" si="242"/>
        <v>0</v>
      </c>
      <c r="T304" s="93">
        <f t="shared" si="250"/>
        <v>0</v>
      </c>
    </row>
    <row r="305" spans="2:20" x14ac:dyDescent="0.3">
      <c r="B305" s="5" t="s">
        <v>18</v>
      </c>
      <c r="C305" s="9">
        <v>26</v>
      </c>
      <c r="D305" s="15">
        <v>0.154</v>
      </c>
      <c r="E305" s="9">
        <v>23</v>
      </c>
      <c r="F305" s="9">
        <v>0</v>
      </c>
      <c r="G305" s="9">
        <v>2415</v>
      </c>
      <c r="H305" s="1">
        <f t="shared" si="243"/>
        <v>3</v>
      </c>
      <c r="I305" s="9"/>
      <c r="J305" s="9"/>
      <c r="K305" s="22">
        <f t="shared" si="240"/>
        <v>15681.818181818182</v>
      </c>
      <c r="L305" s="22">
        <f t="shared" si="241"/>
        <v>168.83116883116884</v>
      </c>
      <c r="M305" s="31">
        <f t="shared" si="244"/>
        <v>0</v>
      </c>
      <c r="N305" s="31">
        <f t="shared" si="245"/>
        <v>0</v>
      </c>
      <c r="O305" s="44">
        <f t="shared" si="246"/>
        <v>0</v>
      </c>
      <c r="P305" s="49">
        <f t="shared" si="247"/>
        <v>0</v>
      </c>
      <c r="Q305" s="47">
        <f t="shared" si="248"/>
        <v>19.480519480519479</v>
      </c>
      <c r="R305" s="66">
        <f t="shared" si="249"/>
        <v>805</v>
      </c>
      <c r="S305" s="92">
        <f t="shared" si="242"/>
        <v>0</v>
      </c>
      <c r="T305" s="93">
        <f t="shared" si="250"/>
        <v>0</v>
      </c>
    </row>
    <row r="306" spans="2:20" ht="15" thickBot="1" x14ac:dyDescent="0.35">
      <c r="B306" s="5" t="s">
        <v>11</v>
      </c>
      <c r="C306" s="9">
        <v>256</v>
      </c>
      <c r="D306" s="15">
        <v>0.52400000000000002</v>
      </c>
      <c r="E306" s="9">
        <v>194</v>
      </c>
      <c r="F306" s="9">
        <v>3</v>
      </c>
      <c r="G306" s="9">
        <v>6431</v>
      </c>
      <c r="H306" s="9">
        <f t="shared" si="243"/>
        <v>59</v>
      </c>
      <c r="I306" s="9"/>
      <c r="J306" s="9"/>
      <c r="K306" s="22">
        <f t="shared" si="240"/>
        <v>12272.900763358779</v>
      </c>
      <c r="L306" s="22">
        <f t="shared" si="241"/>
        <v>488.54961832061065</v>
      </c>
      <c r="M306" s="31">
        <f t="shared" si="244"/>
        <v>-4.8387096774193547E-2</v>
      </c>
      <c r="N306" s="32">
        <f t="shared" si="245"/>
        <v>1.5228426395939087E-2</v>
      </c>
      <c r="O306" s="44">
        <f t="shared" si="246"/>
        <v>5.7251908396946565</v>
      </c>
      <c r="P306" s="50">
        <f t="shared" si="247"/>
        <v>1.171875E-2</v>
      </c>
      <c r="Q306" s="48">
        <f t="shared" si="248"/>
        <v>112.59541984732824</v>
      </c>
      <c r="R306" s="67">
        <f t="shared" si="249"/>
        <v>109</v>
      </c>
      <c r="S306" s="92">
        <f t="shared" si="242"/>
        <v>0</v>
      </c>
      <c r="T306" s="93">
        <f t="shared" si="250"/>
        <v>0</v>
      </c>
    </row>
    <row r="307" spans="2:20" ht="15" thickBot="1" x14ac:dyDescent="0.35">
      <c r="B307" s="11" t="s">
        <v>10</v>
      </c>
      <c r="C307" s="12">
        <v>38442</v>
      </c>
      <c r="D307" s="16">
        <v>37.6</v>
      </c>
      <c r="E307" s="12">
        <v>13188</v>
      </c>
      <c r="F307" s="12">
        <v>1834</v>
      </c>
      <c r="G307" s="12">
        <f>SUM(G297:G306)</f>
        <v>610234</v>
      </c>
      <c r="H307" s="81">
        <f t="shared" si="243"/>
        <v>23420</v>
      </c>
      <c r="I307" s="111"/>
      <c r="J307" s="111"/>
      <c r="K307" s="77">
        <f t="shared" si="240"/>
        <v>16229.627659574468</v>
      </c>
      <c r="L307" s="23">
        <f t="shared" si="241"/>
        <v>1022.3936170212766</v>
      </c>
      <c r="M307" s="31">
        <f t="shared" si="244"/>
        <v>3.8350698293061404E-2</v>
      </c>
      <c r="N307" s="33">
        <f t="shared" si="245"/>
        <v>0.12208760484622554</v>
      </c>
      <c r="O307" s="45">
        <f>F307/D307</f>
        <v>48.776595744680847</v>
      </c>
      <c r="P307" s="53">
        <f t="shared" si="247"/>
        <v>4.7708235783778162E-2</v>
      </c>
      <c r="Q307" s="55">
        <f t="shared" si="248"/>
        <v>622.87234042553189</v>
      </c>
      <c r="R307" s="74">
        <f t="shared" si="249"/>
        <v>26.056105892399657</v>
      </c>
      <c r="S307" s="92">
        <f t="shared" si="242"/>
        <v>42.845744680851062</v>
      </c>
      <c r="T307" s="93">
        <f t="shared" si="250"/>
        <v>3.8297872340425529</v>
      </c>
    </row>
    <row r="308" spans="2:20" ht="15" thickBot="1" x14ac:dyDescent="0.35">
      <c r="B308" s="6" t="s">
        <v>9</v>
      </c>
      <c r="C308" s="7">
        <v>799717</v>
      </c>
      <c r="D308" s="7">
        <v>327</v>
      </c>
      <c r="E308" s="7">
        <v>82620</v>
      </c>
      <c r="F308" s="7">
        <v>44752</v>
      </c>
      <c r="G308" s="7">
        <v>4155178</v>
      </c>
      <c r="H308" s="82">
        <f t="shared" si="243"/>
        <v>672345</v>
      </c>
      <c r="I308" s="112"/>
      <c r="J308" s="112"/>
      <c r="K308" s="78">
        <f t="shared" si="240"/>
        <v>12706.96636085627</v>
      </c>
      <c r="L308" s="24">
        <f t="shared" si="241"/>
        <v>2445.6177370030582</v>
      </c>
      <c r="M308" s="31">
        <f t="shared" si="244"/>
        <v>1.9289864937592952E-2</v>
      </c>
      <c r="N308" s="33">
        <f t="shared" si="245"/>
        <v>0.35134880507489874</v>
      </c>
      <c r="O308" s="46">
        <f>F308/D308</f>
        <v>136.85626911314984</v>
      </c>
      <c r="P308" s="52">
        <f t="shared" si="247"/>
        <v>5.595979577775638E-2</v>
      </c>
      <c r="Q308" s="54">
        <f t="shared" si="248"/>
        <v>2056.1009174311926</v>
      </c>
      <c r="R308" s="72">
        <f t="shared" si="249"/>
        <v>6.1801277617889623</v>
      </c>
      <c r="S308" s="92">
        <f t="shared" si="242"/>
        <v>83.159021406727831</v>
      </c>
      <c r="T308" s="93">
        <f t="shared" si="250"/>
        <v>6.8440366972477067</v>
      </c>
    </row>
    <row r="309" spans="2:20" ht="15" thickBot="1" x14ac:dyDescent="0.35"/>
    <row r="310" spans="2:20" ht="28.8" x14ac:dyDescent="0.3">
      <c r="B310" s="17">
        <v>44652</v>
      </c>
      <c r="C310" s="18" t="s">
        <v>8</v>
      </c>
      <c r="D310" s="19" t="s">
        <v>17</v>
      </c>
      <c r="E310" s="19" t="s">
        <v>15</v>
      </c>
      <c r="F310" s="19" t="s">
        <v>16</v>
      </c>
      <c r="G310" s="19" t="s">
        <v>14</v>
      </c>
      <c r="H310" s="19" t="s">
        <v>38</v>
      </c>
      <c r="I310" s="19"/>
      <c r="J310" s="19"/>
      <c r="K310" s="19" t="s">
        <v>21</v>
      </c>
      <c r="L310" s="19" t="s">
        <v>20</v>
      </c>
      <c r="M310" s="19" t="s">
        <v>40</v>
      </c>
      <c r="N310" s="19" t="s">
        <v>32</v>
      </c>
      <c r="O310" s="19" t="s">
        <v>22</v>
      </c>
      <c r="P310" s="51" t="s">
        <v>34</v>
      </c>
      <c r="Q310" s="20" t="s">
        <v>35</v>
      </c>
      <c r="R310" s="63" t="s">
        <v>39</v>
      </c>
      <c r="S310" s="91" t="s">
        <v>43</v>
      </c>
      <c r="T310" s="91" t="s">
        <v>44</v>
      </c>
    </row>
    <row r="311" spans="2:20" x14ac:dyDescent="0.3">
      <c r="B311" s="3" t="s">
        <v>0</v>
      </c>
      <c r="C311" s="1">
        <v>12245</v>
      </c>
      <c r="D311" s="14">
        <v>14.45</v>
      </c>
      <c r="E311" s="1">
        <v>6221</v>
      </c>
      <c r="F311" s="1">
        <v>659</v>
      </c>
      <c r="G311" s="1">
        <v>184531</v>
      </c>
      <c r="H311" s="1">
        <f>C311-E311-F311</f>
        <v>5365</v>
      </c>
      <c r="I311" s="1"/>
      <c r="J311" s="1"/>
      <c r="K311" s="21">
        <f t="shared" ref="K311:K322" si="251">G311/D311</f>
        <v>12770.311418685122</v>
      </c>
      <c r="L311" s="21">
        <f t="shared" ref="L311:L322" si="252">C311/D311</f>
        <v>847.40484429065748</v>
      </c>
      <c r="M311" s="31">
        <f>(H311-H297)/H297</f>
        <v>1.092896174863388E-2</v>
      </c>
      <c r="N311" s="31">
        <f>F311/(E311+F311)</f>
        <v>9.5784883720930233E-2</v>
      </c>
      <c r="O311" s="43">
        <f>F311/D311</f>
        <v>45.605536332179931</v>
      </c>
      <c r="P311" s="49">
        <f>F311/C311</f>
        <v>5.3817884850959577E-2</v>
      </c>
      <c r="Q311" s="47">
        <f>(C311-E311-F311)/D311</f>
        <v>371.28027681660899</v>
      </c>
      <c r="R311" s="66">
        <f>G311/H311</f>
        <v>34.395340167753957</v>
      </c>
      <c r="S311" s="92">
        <f t="shared" ref="S311:S322" si="253">(C311-C297)/D311</f>
        <v>35.294117647058826</v>
      </c>
      <c r="T311" s="93">
        <f>(F311-F297)/D311</f>
        <v>2.5605536332179932</v>
      </c>
    </row>
    <row r="312" spans="2:20" x14ac:dyDescent="0.3">
      <c r="B312" s="5" t="s">
        <v>1</v>
      </c>
      <c r="C312" s="1">
        <v>20965</v>
      </c>
      <c r="D312" s="14">
        <v>8.43</v>
      </c>
      <c r="E312" s="1">
        <v>4291</v>
      </c>
      <c r="F312" s="1">
        <v>1134</v>
      </c>
      <c r="G312" s="1">
        <v>180887</v>
      </c>
      <c r="H312" s="1">
        <f t="shared" ref="H312:H322" si="254">C312-E312-F312</f>
        <v>15540</v>
      </c>
      <c r="I312" s="1"/>
      <c r="J312" s="1"/>
      <c r="K312" s="21">
        <f t="shared" si="251"/>
        <v>21457.532621589562</v>
      </c>
      <c r="L312" s="21">
        <f t="shared" si="252"/>
        <v>2486.9513641755634</v>
      </c>
      <c r="M312" s="31">
        <f t="shared" ref="M312:M322" si="255">(H312-H298)/H298</f>
        <v>3.3450821307441647E-2</v>
      </c>
      <c r="N312" s="31">
        <f t="shared" ref="N312:N322" si="256">F312/(E312+F312)</f>
        <v>0.20903225806451614</v>
      </c>
      <c r="O312" s="43">
        <f t="shared" ref="O312:O320" si="257">F312/D312</f>
        <v>134.51957295373666</v>
      </c>
      <c r="P312" s="49">
        <f t="shared" ref="P312:P322" si="258">F312/C312</f>
        <v>5.4090150250417364E-2</v>
      </c>
      <c r="Q312" s="47">
        <f t="shared" ref="Q312:Q322" si="259">(C312-E312-F312)/D312</f>
        <v>1843.4163701067616</v>
      </c>
      <c r="R312" s="66">
        <f t="shared" ref="R312:R322" si="260">G312/H312</f>
        <v>11.640090090090091</v>
      </c>
      <c r="S312" s="92">
        <f t="shared" si="253"/>
        <v>99.525504151838675</v>
      </c>
      <c r="T312" s="93">
        <f t="shared" ref="T312:T322" si="261">(F312-F298)/D312</f>
        <v>11.032028469750889</v>
      </c>
    </row>
    <row r="313" spans="2:20" x14ac:dyDescent="0.3">
      <c r="B313" s="5" t="s">
        <v>2</v>
      </c>
      <c r="C313" s="1">
        <v>1795</v>
      </c>
      <c r="D313" s="14">
        <v>5.0199999999999996</v>
      </c>
      <c r="E313" s="1">
        <v>1079</v>
      </c>
      <c r="F313" s="1">
        <v>90</v>
      </c>
      <c r="G313" s="1">
        <v>65545</v>
      </c>
      <c r="H313" s="1">
        <f t="shared" si="254"/>
        <v>626</v>
      </c>
      <c r="I313" s="1"/>
      <c r="J313" s="1"/>
      <c r="K313" s="21">
        <f t="shared" si="251"/>
        <v>13056.772908366534</v>
      </c>
      <c r="L313" s="21">
        <f t="shared" si="252"/>
        <v>357.5697211155379</v>
      </c>
      <c r="M313" s="31">
        <f t="shared" si="255"/>
        <v>5.0335570469798654E-2</v>
      </c>
      <c r="N313" s="31">
        <f t="shared" si="256"/>
        <v>7.6988879384088965E-2</v>
      </c>
      <c r="O313" s="43">
        <f t="shared" si="257"/>
        <v>17.928286852589643</v>
      </c>
      <c r="P313" s="49">
        <f t="shared" si="258"/>
        <v>5.0139275766016712E-2</v>
      </c>
      <c r="Q313" s="47">
        <f t="shared" si="259"/>
        <v>124.70119521912352</v>
      </c>
      <c r="R313" s="66">
        <f t="shared" si="260"/>
        <v>104.70447284345047</v>
      </c>
      <c r="S313" s="92">
        <f t="shared" si="253"/>
        <v>14.143426294820719</v>
      </c>
      <c r="T313" s="93">
        <f t="shared" si="261"/>
        <v>0.59760956175298807</v>
      </c>
    </row>
    <row r="314" spans="2:20" x14ac:dyDescent="0.3">
      <c r="B314" s="5" t="s">
        <v>3</v>
      </c>
      <c r="C314" s="1">
        <v>3401</v>
      </c>
      <c r="D314" s="14">
        <v>4.34</v>
      </c>
      <c r="E314" s="1">
        <v>1310</v>
      </c>
      <c r="F314" s="1">
        <v>66</v>
      </c>
      <c r="G314" s="1">
        <v>113499</v>
      </c>
      <c r="H314" s="1">
        <f t="shared" si="254"/>
        <v>2025</v>
      </c>
      <c r="I314" s="1"/>
      <c r="J314" s="1"/>
      <c r="K314" s="21">
        <f t="shared" si="251"/>
        <v>26151.843317972351</v>
      </c>
      <c r="L314" s="21">
        <f t="shared" si="252"/>
        <v>783.64055299539177</v>
      </c>
      <c r="M314" s="31">
        <f t="shared" si="255"/>
        <v>0.14991482112436116</v>
      </c>
      <c r="N314" s="31">
        <f t="shared" si="256"/>
        <v>4.7965116279069769E-2</v>
      </c>
      <c r="O314" s="43">
        <f t="shared" si="257"/>
        <v>15.207373271889402</v>
      </c>
      <c r="P314" s="49">
        <f t="shared" si="258"/>
        <v>1.9406057042046457E-2</v>
      </c>
      <c r="Q314" s="47">
        <f t="shared" si="259"/>
        <v>466.58986175115211</v>
      </c>
      <c r="R314" s="66">
        <f t="shared" si="260"/>
        <v>56.048888888888889</v>
      </c>
      <c r="S314" s="92">
        <f t="shared" si="253"/>
        <v>70.506912442396313</v>
      </c>
      <c r="T314" s="93">
        <f t="shared" si="261"/>
        <v>1.1520737327188941</v>
      </c>
    </row>
    <row r="315" spans="2:20" x14ac:dyDescent="0.3">
      <c r="B315" s="5" t="s">
        <v>4</v>
      </c>
      <c r="C315" s="1">
        <v>257</v>
      </c>
      <c r="D315" s="14">
        <v>1.36</v>
      </c>
      <c r="E315" s="1">
        <v>154</v>
      </c>
      <c r="F315" s="1">
        <v>6</v>
      </c>
      <c r="G315" s="1">
        <v>21601</v>
      </c>
      <c r="H315" s="1">
        <f t="shared" si="254"/>
        <v>97</v>
      </c>
      <c r="I315" s="1"/>
      <c r="J315" s="1"/>
      <c r="K315" s="21">
        <f t="shared" si="251"/>
        <v>15883.088235294117</v>
      </c>
      <c r="L315" s="21">
        <f t="shared" si="252"/>
        <v>188.97058823529412</v>
      </c>
      <c r="M315" s="31">
        <f t="shared" si="255"/>
        <v>-2.0202020202020204E-2</v>
      </c>
      <c r="N315" s="31">
        <f t="shared" si="256"/>
        <v>3.7499999999999999E-2</v>
      </c>
      <c r="O315" s="43">
        <f t="shared" si="257"/>
        <v>4.4117647058823524</v>
      </c>
      <c r="P315" s="49">
        <f t="shared" si="258"/>
        <v>2.3346303501945526E-2</v>
      </c>
      <c r="Q315" s="47">
        <f t="shared" si="259"/>
        <v>71.323529411764696</v>
      </c>
      <c r="R315" s="66">
        <f t="shared" si="260"/>
        <v>222.69072164948454</v>
      </c>
      <c r="S315" s="92">
        <f t="shared" si="253"/>
        <v>1.4705882352941175</v>
      </c>
      <c r="T315" s="93">
        <f t="shared" si="261"/>
        <v>0</v>
      </c>
    </row>
    <row r="316" spans="2:20" x14ac:dyDescent="0.3">
      <c r="B316" s="5" t="s">
        <v>5</v>
      </c>
      <c r="C316" s="1">
        <v>326</v>
      </c>
      <c r="D316" s="14">
        <v>1.17</v>
      </c>
      <c r="E316" s="1">
        <v>261</v>
      </c>
      <c r="F316" s="1">
        <v>4</v>
      </c>
      <c r="G316" s="1">
        <v>25321</v>
      </c>
      <c r="H316" s="1">
        <f t="shared" si="254"/>
        <v>61</v>
      </c>
      <c r="I316" s="1"/>
      <c r="J316" s="1"/>
      <c r="K316" s="21">
        <f t="shared" si="251"/>
        <v>21641.880341880344</v>
      </c>
      <c r="L316" s="21">
        <f t="shared" si="252"/>
        <v>278.63247863247864</v>
      </c>
      <c r="M316" s="31">
        <f t="shared" si="255"/>
        <v>-4.6875E-2</v>
      </c>
      <c r="N316" s="31">
        <f t="shared" si="256"/>
        <v>1.509433962264151E-2</v>
      </c>
      <c r="O316" s="43">
        <f t="shared" si="257"/>
        <v>3.4188034188034191</v>
      </c>
      <c r="P316" s="49">
        <f t="shared" si="258"/>
        <v>1.2269938650306749E-2</v>
      </c>
      <c r="Q316" s="47">
        <f t="shared" si="259"/>
        <v>52.136752136752143</v>
      </c>
      <c r="R316" s="66">
        <f t="shared" si="260"/>
        <v>415.09836065573768</v>
      </c>
      <c r="S316" s="92">
        <f t="shared" si="253"/>
        <v>5.1282051282051286</v>
      </c>
      <c r="T316" s="93">
        <f t="shared" si="261"/>
        <v>0</v>
      </c>
    </row>
    <row r="317" spans="2:20" x14ac:dyDescent="0.3">
      <c r="B317" s="5" t="s">
        <v>6</v>
      </c>
      <c r="C317" s="1">
        <v>772</v>
      </c>
      <c r="D317" s="14">
        <v>0.96499999999999997</v>
      </c>
      <c r="E317" s="1">
        <v>330</v>
      </c>
      <c r="F317" s="1">
        <v>12</v>
      </c>
      <c r="G317" s="1">
        <f>22993+C317</f>
        <v>23765</v>
      </c>
      <c r="H317" s="1">
        <f t="shared" si="254"/>
        <v>430</v>
      </c>
      <c r="I317" s="1"/>
      <c r="J317" s="1"/>
      <c r="K317" s="21">
        <f t="shared" si="251"/>
        <v>24626.943005181347</v>
      </c>
      <c r="L317" s="21">
        <f t="shared" si="252"/>
        <v>800</v>
      </c>
      <c r="M317" s="31">
        <f t="shared" si="255"/>
        <v>-2.4943310657596373E-2</v>
      </c>
      <c r="N317" s="31">
        <f t="shared" si="256"/>
        <v>3.5087719298245612E-2</v>
      </c>
      <c r="O317" s="43">
        <f t="shared" si="257"/>
        <v>12.435233160621761</v>
      </c>
      <c r="P317" s="49">
        <f t="shared" si="258"/>
        <v>1.5544041450777202E-2</v>
      </c>
      <c r="Q317" s="47">
        <f t="shared" si="259"/>
        <v>445.59585492227978</v>
      </c>
      <c r="R317" s="66">
        <f t="shared" si="260"/>
        <v>55.267441860465119</v>
      </c>
      <c r="S317" s="92">
        <f t="shared" si="253"/>
        <v>36.269430051813472</v>
      </c>
      <c r="T317" s="93">
        <f t="shared" si="261"/>
        <v>2.0725388601036272</v>
      </c>
    </row>
    <row r="318" spans="2:20" x14ac:dyDescent="0.3">
      <c r="B318" s="5" t="s">
        <v>7</v>
      </c>
      <c r="C318" s="1">
        <v>118</v>
      </c>
      <c r="D318" s="14">
        <v>0.77200000000000002</v>
      </c>
      <c r="E318" s="1">
        <v>104</v>
      </c>
      <c r="F318" s="1">
        <v>0</v>
      </c>
      <c r="G318" s="1">
        <v>11541</v>
      </c>
      <c r="H318" s="1">
        <f t="shared" si="254"/>
        <v>14</v>
      </c>
      <c r="I318" s="1"/>
      <c r="J318" s="1"/>
      <c r="K318" s="21">
        <f t="shared" si="251"/>
        <v>14949.481865284974</v>
      </c>
      <c r="L318" s="21">
        <f t="shared" si="252"/>
        <v>152.84974093264248</v>
      </c>
      <c r="M318" s="31">
        <f t="shared" si="255"/>
        <v>-0.125</v>
      </c>
      <c r="N318" s="31">
        <f t="shared" si="256"/>
        <v>0</v>
      </c>
      <c r="O318" s="43">
        <f t="shared" si="257"/>
        <v>0</v>
      </c>
      <c r="P318" s="49">
        <f t="shared" si="258"/>
        <v>0</v>
      </c>
      <c r="Q318" s="47">
        <f t="shared" si="259"/>
        <v>18.134715025906736</v>
      </c>
      <c r="R318" s="66">
        <f t="shared" si="260"/>
        <v>824.35714285714289</v>
      </c>
      <c r="S318" s="92">
        <f t="shared" si="253"/>
        <v>0</v>
      </c>
      <c r="T318" s="93">
        <f t="shared" si="261"/>
        <v>0</v>
      </c>
    </row>
    <row r="319" spans="2:20" x14ac:dyDescent="0.3">
      <c r="B319" s="5" t="s">
        <v>18</v>
      </c>
      <c r="C319" s="9">
        <v>26</v>
      </c>
      <c r="D319" s="15">
        <v>0.154</v>
      </c>
      <c r="E319" s="9">
        <v>24</v>
      </c>
      <c r="F319" s="9">
        <v>0</v>
      </c>
      <c r="G319" s="9">
        <v>2506</v>
      </c>
      <c r="H319" s="1">
        <f t="shared" si="254"/>
        <v>2</v>
      </c>
      <c r="I319" s="9"/>
      <c r="J319" s="9"/>
      <c r="K319" s="22">
        <f t="shared" si="251"/>
        <v>16272.727272727272</v>
      </c>
      <c r="L319" s="22">
        <f t="shared" si="252"/>
        <v>168.83116883116884</v>
      </c>
      <c r="M319" s="31">
        <f t="shared" si="255"/>
        <v>-0.33333333333333331</v>
      </c>
      <c r="N319" s="31">
        <f t="shared" si="256"/>
        <v>0</v>
      </c>
      <c r="O319" s="44">
        <f t="shared" si="257"/>
        <v>0</v>
      </c>
      <c r="P319" s="49">
        <f t="shared" si="258"/>
        <v>0</v>
      </c>
      <c r="Q319" s="47">
        <f t="shared" si="259"/>
        <v>12.987012987012987</v>
      </c>
      <c r="R319" s="66">
        <f t="shared" si="260"/>
        <v>1253</v>
      </c>
      <c r="S319" s="92">
        <f t="shared" si="253"/>
        <v>0</v>
      </c>
      <c r="T319" s="93">
        <f t="shared" si="261"/>
        <v>0</v>
      </c>
    </row>
    <row r="320" spans="2:20" ht="15" thickBot="1" x14ac:dyDescent="0.35">
      <c r="B320" s="5" t="s">
        <v>11</v>
      </c>
      <c r="C320" s="9">
        <v>256</v>
      </c>
      <c r="D320" s="15">
        <v>0.52400000000000002</v>
      </c>
      <c r="E320" s="9">
        <v>199</v>
      </c>
      <c r="F320" s="9">
        <v>3</v>
      </c>
      <c r="G320" s="9">
        <v>6662</v>
      </c>
      <c r="H320" s="9">
        <f t="shared" si="254"/>
        <v>54</v>
      </c>
      <c r="I320" s="9"/>
      <c r="J320" s="9"/>
      <c r="K320" s="22">
        <f t="shared" si="251"/>
        <v>12713.740458015267</v>
      </c>
      <c r="L320" s="22">
        <f t="shared" si="252"/>
        <v>488.54961832061065</v>
      </c>
      <c r="M320" s="31">
        <f t="shared" si="255"/>
        <v>-8.4745762711864403E-2</v>
      </c>
      <c r="N320" s="32">
        <f t="shared" si="256"/>
        <v>1.4851485148514851E-2</v>
      </c>
      <c r="O320" s="44">
        <f t="shared" si="257"/>
        <v>5.7251908396946565</v>
      </c>
      <c r="P320" s="50">
        <f t="shared" si="258"/>
        <v>1.171875E-2</v>
      </c>
      <c r="Q320" s="48">
        <f t="shared" si="259"/>
        <v>103.05343511450381</v>
      </c>
      <c r="R320" s="67">
        <f t="shared" si="260"/>
        <v>123.37037037037037</v>
      </c>
      <c r="S320" s="92">
        <f t="shared" si="253"/>
        <v>0</v>
      </c>
      <c r="T320" s="93">
        <f t="shared" si="261"/>
        <v>0</v>
      </c>
    </row>
    <row r="321" spans="2:24" ht="15" thickBot="1" x14ac:dyDescent="0.35">
      <c r="B321" s="11" t="s">
        <v>10</v>
      </c>
      <c r="C321" s="12">
        <v>40190</v>
      </c>
      <c r="D321" s="16">
        <v>37.6</v>
      </c>
      <c r="E321" s="12">
        <v>13986</v>
      </c>
      <c r="F321" s="12">
        <v>1974</v>
      </c>
      <c r="G321" s="12">
        <f>SUM(G311:G320)</f>
        <v>635858</v>
      </c>
      <c r="H321" s="81">
        <f t="shared" si="254"/>
        <v>24230</v>
      </c>
      <c r="I321" s="111"/>
      <c r="J321" s="111"/>
      <c r="K321" s="77">
        <f t="shared" si="251"/>
        <v>16911.117021276594</v>
      </c>
      <c r="L321" s="23">
        <f t="shared" si="252"/>
        <v>1068.8829787234042</v>
      </c>
      <c r="M321" s="31">
        <f t="shared" si="255"/>
        <v>3.4585824081981215E-2</v>
      </c>
      <c r="N321" s="33">
        <f t="shared" si="256"/>
        <v>0.12368421052631579</v>
      </c>
      <c r="O321" s="45">
        <f>F321/D321</f>
        <v>52.5</v>
      </c>
      <c r="P321" s="53">
        <f t="shared" si="258"/>
        <v>4.9116695695446626E-2</v>
      </c>
      <c r="Q321" s="55">
        <f t="shared" si="259"/>
        <v>644.41489361702122</v>
      </c>
      <c r="R321" s="74">
        <f t="shared" si="260"/>
        <v>26.242591828312008</v>
      </c>
      <c r="S321" s="92">
        <f t="shared" si="253"/>
        <v>46.48936170212766</v>
      </c>
      <c r="T321" s="93">
        <f t="shared" si="261"/>
        <v>3.7234042553191489</v>
      </c>
    </row>
    <row r="322" spans="2:24" ht="15" thickBot="1" x14ac:dyDescent="0.35">
      <c r="B322" s="6" t="s">
        <v>9</v>
      </c>
      <c r="C322" s="7">
        <v>826936</v>
      </c>
      <c r="D322" s="7">
        <v>327</v>
      </c>
      <c r="E322" s="7">
        <v>83910</v>
      </c>
      <c r="F322" s="7">
        <v>47430</v>
      </c>
      <c r="G322" s="7">
        <v>4466559</v>
      </c>
      <c r="H322" s="82">
        <f t="shared" si="254"/>
        <v>695596</v>
      </c>
      <c r="I322" s="112"/>
      <c r="J322" s="112"/>
      <c r="K322" s="78">
        <f t="shared" si="251"/>
        <v>13659.201834862386</v>
      </c>
      <c r="L322" s="24">
        <f t="shared" si="252"/>
        <v>2528.8562691131497</v>
      </c>
      <c r="M322" s="31">
        <f t="shared" si="255"/>
        <v>3.4581948255731805E-2</v>
      </c>
      <c r="N322" s="33">
        <f t="shared" si="256"/>
        <v>0.36112380082229328</v>
      </c>
      <c r="O322" s="46">
        <f>F322/D322</f>
        <v>145.04587155963301</v>
      </c>
      <c r="P322" s="52">
        <f t="shared" si="258"/>
        <v>5.7356312943202377E-2</v>
      </c>
      <c r="Q322" s="54">
        <f t="shared" si="259"/>
        <v>2127.2048929663611</v>
      </c>
      <c r="R322" s="72">
        <f t="shared" si="260"/>
        <v>6.4211970741637385</v>
      </c>
      <c r="S322" s="92">
        <f t="shared" si="253"/>
        <v>83.238532110091739</v>
      </c>
      <c r="T322" s="93">
        <f t="shared" si="261"/>
        <v>8.18960244648318</v>
      </c>
    </row>
    <row r="323" spans="2:24" ht="15" thickBot="1" x14ac:dyDescent="0.35"/>
    <row r="324" spans="2:24" ht="29.4" thickBot="1" x14ac:dyDescent="0.35">
      <c r="B324" s="17">
        <v>45017</v>
      </c>
      <c r="C324" s="18" t="s">
        <v>8</v>
      </c>
      <c r="D324" s="19" t="s">
        <v>17</v>
      </c>
      <c r="E324" s="19" t="s">
        <v>15</v>
      </c>
      <c r="F324" s="19" t="s">
        <v>16</v>
      </c>
      <c r="G324" s="19" t="s">
        <v>14</v>
      </c>
      <c r="H324" s="19" t="s">
        <v>38</v>
      </c>
      <c r="I324" s="19"/>
      <c r="J324" s="19"/>
      <c r="K324" s="19" t="s">
        <v>21</v>
      </c>
      <c r="L324" s="19" t="s">
        <v>20</v>
      </c>
      <c r="M324" s="19" t="s">
        <v>40</v>
      </c>
      <c r="N324" s="19" t="s">
        <v>32</v>
      </c>
      <c r="O324" s="19" t="s">
        <v>22</v>
      </c>
      <c r="P324" s="51" t="s">
        <v>34</v>
      </c>
      <c r="Q324" s="20" t="s">
        <v>35</v>
      </c>
      <c r="R324" s="63" t="s">
        <v>39</v>
      </c>
      <c r="S324" s="91" t="s">
        <v>43</v>
      </c>
      <c r="T324" s="91" t="s">
        <v>44</v>
      </c>
      <c r="V324" s="104" t="s">
        <v>48</v>
      </c>
      <c r="W324" s="105" t="s">
        <v>49</v>
      </c>
      <c r="X324" s="106" t="s">
        <v>50</v>
      </c>
    </row>
    <row r="325" spans="2:24" x14ac:dyDescent="0.3">
      <c r="B325" s="3" t="s">
        <v>0</v>
      </c>
      <c r="C325" s="1">
        <v>12879</v>
      </c>
      <c r="D325" s="14">
        <v>14.45</v>
      </c>
      <c r="E325" s="1">
        <v>6680</v>
      </c>
      <c r="F325" s="1">
        <v>713</v>
      </c>
      <c r="G325" s="1">
        <v>194745</v>
      </c>
      <c r="H325" s="1">
        <f>C325-E325-F325</f>
        <v>5486</v>
      </c>
      <c r="I325" s="1"/>
      <c r="J325" s="1"/>
      <c r="K325" s="21">
        <f t="shared" ref="K325:K336" si="262">G325/D325</f>
        <v>13477.162629757786</v>
      </c>
      <c r="L325" s="21">
        <f t="shared" ref="L325:L336" si="263">C325/D325</f>
        <v>891.28027681660899</v>
      </c>
      <c r="M325" s="31">
        <f>(H325-H311)/H311</f>
        <v>2.2553588070829449E-2</v>
      </c>
      <c r="N325" s="31">
        <f>F325/(E325+F325)</f>
        <v>9.6442580819694299E-2</v>
      </c>
      <c r="O325" s="43">
        <f>F325/D325</f>
        <v>49.34256055363322</v>
      </c>
      <c r="P325" s="49">
        <f>F325/C325</f>
        <v>5.536144110567591E-2</v>
      </c>
      <c r="Q325" s="47">
        <f>(C325-E325-F325)/D325</f>
        <v>379.65397923875435</v>
      </c>
      <c r="R325" s="66">
        <f>G325/H325</f>
        <v>35.498541742617569</v>
      </c>
      <c r="S325" s="92">
        <f t="shared" ref="S325:S336" si="264">(C325-C311)/D325</f>
        <v>43.87543252595156</v>
      </c>
      <c r="T325" s="93">
        <f>(F325-F311)/D325</f>
        <v>3.7370242214532872</v>
      </c>
      <c r="V325" s="101" t="str">
        <f>B325</f>
        <v>ON</v>
      </c>
      <c r="W325" s="102">
        <f>C325/D325/180+IFERROR((D325*C325*5)/(F325*F325),400)</f>
        <v>6.7819357160402811</v>
      </c>
      <c r="X325" s="103">
        <f>L325/75000/K325*K$335</f>
        <v>1.5298143513366906E-2</v>
      </c>
    </row>
    <row r="326" spans="2:24" x14ac:dyDescent="0.3">
      <c r="B326" s="5" t="s">
        <v>1</v>
      </c>
      <c r="C326" s="1">
        <v>21838</v>
      </c>
      <c r="D326" s="14">
        <v>8.43</v>
      </c>
      <c r="E326" s="1">
        <v>4484</v>
      </c>
      <c r="F326" s="1">
        <v>1243</v>
      </c>
      <c r="G326" s="1">
        <v>183840</v>
      </c>
      <c r="H326" s="1">
        <f t="shared" ref="H326:H336" si="265">C326-E326-F326</f>
        <v>16111</v>
      </c>
      <c r="I326" s="1"/>
      <c r="J326" s="1"/>
      <c r="K326" s="21">
        <f t="shared" si="262"/>
        <v>21807.829181494664</v>
      </c>
      <c r="L326" s="21">
        <f t="shared" si="263"/>
        <v>2590.5100830367737</v>
      </c>
      <c r="M326" s="31">
        <f t="shared" ref="M326:M336" si="266">(H326-H312)/H312</f>
        <v>3.6743886743886747E-2</v>
      </c>
      <c r="N326" s="31">
        <f t="shared" ref="N326:N336" si="267">F326/(E326+F326)</f>
        <v>0.21704208136895409</v>
      </c>
      <c r="O326" s="43">
        <f t="shared" ref="O326:O334" si="268">F326/D326</f>
        <v>147.44958481613287</v>
      </c>
      <c r="P326" s="49">
        <f t="shared" ref="P326:P336" si="269">F326/C326</f>
        <v>5.691913178862533E-2</v>
      </c>
      <c r="Q326" s="47">
        <f t="shared" ref="Q326:Q336" si="270">(C326-E326-F326)/D326</f>
        <v>1911.1506524317913</v>
      </c>
      <c r="R326" s="66">
        <f t="shared" ref="R326:R336" si="271">G326/H326</f>
        <v>11.410837316119421</v>
      </c>
      <c r="S326" s="92">
        <f t="shared" si="264"/>
        <v>103.55871886120997</v>
      </c>
      <c r="T326" s="93">
        <f t="shared" ref="T326:T336" si="272">(F326-F312)/D326</f>
        <v>12.930011862396205</v>
      </c>
      <c r="V326" s="98" t="str">
        <f t="shared" ref="V326:V336" si="273">B326</f>
        <v>QC</v>
      </c>
      <c r="W326" s="100">
        <f t="shared" ref="W326:W336" si="274">C326/D326/180+IFERROR((D326*C326*5)/(F326*F326),400)</f>
        <v>14.987478352128077</v>
      </c>
      <c r="X326" s="103">
        <f t="shared" ref="X326:X336" si="275">L326/75000/K326*K$335</f>
        <v>2.7478672878512925E-2</v>
      </c>
    </row>
    <row r="327" spans="2:24" x14ac:dyDescent="0.3">
      <c r="B327" s="5" t="s">
        <v>2</v>
      </c>
      <c r="C327" s="1">
        <v>1824</v>
      </c>
      <c r="D327" s="14">
        <v>5.0199999999999996</v>
      </c>
      <c r="E327" s="1">
        <v>1092</v>
      </c>
      <c r="F327" s="1">
        <v>94</v>
      </c>
      <c r="G327" s="1">
        <v>66977</v>
      </c>
      <c r="H327" s="1">
        <f t="shared" si="265"/>
        <v>638</v>
      </c>
      <c r="I327" s="1"/>
      <c r="J327" s="1"/>
      <c r="K327" s="21">
        <f t="shared" si="262"/>
        <v>13342.031872509961</v>
      </c>
      <c r="L327" s="21">
        <f t="shared" si="263"/>
        <v>363.34661354581675</v>
      </c>
      <c r="M327" s="31">
        <f t="shared" si="266"/>
        <v>1.9169329073482427E-2</v>
      </c>
      <c r="N327" s="31">
        <f t="shared" si="267"/>
        <v>7.9258010118043842E-2</v>
      </c>
      <c r="O327" s="43">
        <f t="shared" si="268"/>
        <v>18.725099601593627</v>
      </c>
      <c r="P327" s="49">
        <f t="shared" si="269"/>
        <v>5.1535087719298246E-2</v>
      </c>
      <c r="Q327" s="47">
        <f t="shared" si="270"/>
        <v>127.09163346613546</v>
      </c>
      <c r="R327" s="66">
        <f t="shared" si="271"/>
        <v>104.97962382445141</v>
      </c>
      <c r="S327" s="92">
        <f t="shared" si="264"/>
        <v>5.7768924302788847</v>
      </c>
      <c r="T327" s="93">
        <f t="shared" si="272"/>
        <v>0.79681274900398413</v>
      </c>
      <c r="V327" s="98" t="str">
        <f t="shared" si="273"/>
        <v>BC</v>
      </c>
      <c r="W327" s="100">
        <f t="shared" si="274"/>
        <v>7.1999413241856773</v>
      </c>
      <c r="X327" s="103">
        <f t="shared" si="275"/>
        <v>6.2997316004636721E-3</v>
      </c>
    </row>
    <row r="328" spans="2:24" x14ac:dyDescent="0.3">
      <c r="B328" s="5" t="s">
        <v>3</v>
      </c>
      <c r="C328" s="1">
        <v>3720</v>
      </c>
      <c r="D328" s="14">
        <v>4.34</v>
      </c>
      <c r="E328" s="1">
        <v>1357</v>
      </c>
      <c r="F328" s="1">
        <v>67</v>
      </c>
      <c r="G328" s="1">
        <v>113499</v>
      </c>
      <c r="H328" s="1">
        <f t="shared" si="265"/>
        <v>2296</v>
      </c>
      <c r="I328" s="1"/>
      <c r="J328" s="1"/>
      <c r="K328" s="21">
        <f t="shared" si="262"/>
        <v>26151.843317972351</v>
      </c>
      <c r="L328" s="21">
        <f t="shared" si="263"/>
        <v>857.14285714285722</v>
      </c>
      <c r="M328" s="31">
        <f t="shared" si="266"/>
        <v>0.13382716049382717</v>
      </c>
      <c r="N328" s="31">
        <f t="shared" si="267"/>
        <v>4.7050561797752806E-2</v>
      </c>
      <c r="O328" s="43">
        <f t="shared" si="268"/>
        <v>15.43778801843318</v>
      </c>
      <c r="P328" s="49">
        <f t="shared" si="269"/>
        <v>1.8010752688172042E-2</v>
      </c>
      <c r="Q328" s="47">
        <f t="shared" si="270"/>
        <v>529.0322580645161</v>
      </c>
      <c r="R328" s="66">
        <f t="shared" si="271"/>
        <v>49.433362369337978</v>
      </c>
      <c r="S328" s="92">
        <f t="shared" si="264"/>
        <v>73.502304147465438</v>
      </c>
      <c r="T328" s="93">
        <f t="shared" si="272"/>
        <v>0.2304147465437788</v>
      </c>
      <c r="V328" s="98" t="str">
        <f t="shared" si="273"/>
        <v>AL</v>
      </c>
      <c r="W328" s="100">
        <f t="shared" si="274"/>
        <v>22.744528954375244</v>
      </c>
      <c r="X328" s="103">
        <f t="shared" si="275"/>
        <v>7.5818259154218828E-3</v>
      </c>
    </row>
    <row r="329" spans="2:24" x14ac:dyDescent="0.3">
      <c r="B329" s="5" t="s">
        <v>4</v>
      </c>
      <c r="C329" s="1">
        <v>262</v>
      </c>
      <c r="D329" s="14">
        <v>1.36</v>
      </c>
      <c r="E329" s="1">
        <v>174</v>
      </c>
      <c r="F329" s="1">
        <v>6</v>
      </c>
      <c r="G329" s="1">
        <v>21387</v>
      </c>
      <c r="H329" s="1">
        <f t="shared" si="265"/>
        <v>82</v>
      </c>
      <c r="I329" s="1"/>
      <c r="J329" s="1"/>
      <c r="K329" s="21">
        <f t="shared" si="262"/>
        <v>15725.735294117645</v>
      </c>
      <c r="L329" s="21">
        <f t="shared" si="263"/>
        <v>192.64705882352939</v>
      </c>
      <c r="M329" s="31">
        <f t="shared" si="266"/>
        <v>-0.15463917525773196</v>
      </c>
      <c r="N329" s="31">
        <f t="shared" si="267"/>
        <v>3.3333333333333333E-2</v>
      </c>
      <c r="O329" s="43">
        <f t="shared" si="268"/>
        <v>4.4117647058823524</v>
      </c>
      <c r="P329" s="49">
        <f t="shared" si="269"/>
        <v>2.2900763358778626E-2</v>
      </c>
      <c r="Q329" s="47">
        <f t="shared" si="270"/>
        <v>60.294117647058819</v>
      </c>
      <c r="R329" s="66">
        <f t="shared" si="271"/>
        <v>260.8170731707317</v>
      </c>
      <c r="S329" s="92">
        <f t="shared" si="264"/>
        <v>3.6764705882352939</v>
      </c>
      <c r="T329" s="93">
        <f t="shared" si="272"/>
        <v>0</v>
      </c>
      <c r="V329" s="98" t="str">
        <f t="shared" si="273"/>
        <v>MA</v>
      </c>
      <c r="W329" s="100">
        <f t="shared" si="274"/>
        <v>50.559150326797401</v>
      </c>
      <c r="X329" s="103">
        <f t="shared" si="275"/>
        <v>2.8338334714499798E-3</v>
      </c>
    </row>
    <row r="330" spans="2:24" x14ac:dyDescent="0.3">
      <c r="B330" s="5" t="s">
        <v>5</v>
      </c>
      <c r="C330" s="1">
        <v>331</v>
      </c>
      <c r="D330" s="14">
        <v>1.17</v>
      </c>
      <c r="E330" s="1">
        <v>270</v>
      </c>
      <c r="F330" s="1">
        <v>4</v>
      </c>
      <c r="G330" s="1">
        <v>25872</v>
      </c>
      <c r="H330" s="1">
        <f t="shared" si="265"/>
        <v>57</v>
      </c>
      <c r="I330" s="1"/>
      <c r="J330" s="1"/>
      <c r="K330" s="21">
        <f t="shared" si="262"/>
        <v>22112.820512820515</v>
      </c>
      <c r="L330" s="21">
        <f t="shared" si="263"/>
        <v>282.90598290598291</v>
      </c>
      <c r="M330" s="31">
        <f t="shared" si="266"/>
        <v>-6.5573770491803282E-2</v>
      </c>
      <c r="N330" s="31">
        <f t="shared" si="267"/>
        <v>1.4598540145985401E-2</v>
      </c>
      <c r="O330" s="43">
        <f t="shared" si="268"/>
        <v>3.4188034188034191</v>
      </c>
      <c r="P330" s="49">
        <f t="shared" si="269"/>
        <v>1.2084592145015106E-2</v>
      </c>
      <c r="Q330" s="47">
        <f t="shared" si="270"/>
        <v>48.717948717948723</v>
      </c>
      <c r="R330" s="66">
        <f t="shared" si="271"/>
        <v>453.89473684210526</v>
      </c>
      <c r="S330" s="92">
        <f t="shared" si="264"/>
        <v>4.2735042735042734</v>
      </c>
      <c r="T330" s="93">
        <f t="shared" si="272"/>
        <v>0</v>
      </c>
      <c r="V330" s="98" t="str">
        <f t="shared" si="273"/>
        <v>SA</v>
      </c>
      <c r="W330" s="100">
        <f t="shared" si="274"/>
        <v>122.59357490503324</v>
      </c>
      <c r="X330" s="103">
        <f t="shared" si="275"/>
        <v>2.9595173812594026E-3</v>
      </c>
    </row>
    <row r="331" spans="2:24" x14ac:dyDescent="0.3">
      <c r="B331" s="5" t="s">
        <v>6</v>
      </c>
      <c r="C331" s="1">
        <v>827</v>
      </c>
      <c r="D331" s="14">
        <v>0.96499999999999997</v>
      </c>
      <c r="E331" s="1">
        <v>358</v>
      </c>
      <c r="F331" s="1">
        <v>16</v>
      </c>
      <c r="G331" s="1">
        <f>23731+C331</f>
        <v>24558</v>
      </c>
      <c r="H331" s="1">
        <f t="shared" si="265"/>
        <v>453</v>
      </c>
      <c r="I331" s="1"/>
      <c r="J331" s="1"/>
      <c r="K331" s="21">
        <f t="shared" si="262"/>
        <v>25448.704663212437</v>
      </c>
      <c r="L331" s="21">
        <f t="shared" si="263"/>
        <v>856.99481865284974</v>
      </c>
      <c r="M331" s="31">
        <f t="shared" si="266"/>
        <v>5.3488372093023255E-2</v>
      </c>
      <c r="N331" s="31">
        <f t="shared" si="267"/>
        <v>4.2780748663101602E-2</v>
      </c>
      <c r="O331" s="43">
        <f t="shared" si="268"/>
        <v>16.580310880829018</v>
      </c>
      <c r="P331" s="49">
        <f t="shared" si="269"/>
        <v>1.9347037484885126E-2</v>
      </c>
      <c r="Q331" s="47">
        <f t="shared" si="270"/>
        <v>469.43005181347149</v>
      </c>
      <c r="R331" s="66">
        <f t="shared" si="271"/>
        <v>54.211920529801326</v>
      </c>
      <c r="S331" s="92">
        <f t="shared" si="264"/>
        <v>56.994818652849744</v>
      </c>
      <c r="T331" s="93">
        <f t="shared" si="272"/>
        <v>4.1450777202072544</v>
      </c>
      <c r="V331" s="98" t="str">
        <f t="shared" si="273"/>
        <v>NS</v>
      </c>
      <c r="W331" s="100">
        <f t="shared" si="274"/>
        <v>20.348094044599165</v>
      </c>
      <c r="X331" s="103">
        <f t="shared" si="275"/>
        <v>7.7899634184870788E-3</v>
      </c>
    </row>
    <row r="332" spans="2:24" x14ac:dyDescent="0.3">
      <c r="B332" s="5" t="s">
        <v>7</v>
      </c>
      <c r="C332" s="1">
        <v>118</v>
      </c>
      <c r="D332" s="14">
        <v>0.77200000000000002</v>
      </c>
      <c r="E332" s="1">
        <v>104</v>
      </c>
      <c r="F332" s="1">
        <v>0</v>
      </c>
      <c r="G332" s="1">
        <v>12014</v>
      </c>
      <c r="H332" s="1">
        <f t="shared" si="265"/>
        <v>14</v>
      </c>
      <c r="I332" s="1"/>
      <c r="J332" s="1"/>
      <c r="K332" s="21">
        <f t="shared" si="262"/>
        <v>15562.176165803108</v>
      </c>
      <c r="L332" s="21">
        <f t="shared" si="263"/>
        <v>152.84974093264248</v>
      </c>
      <c r="M332" s="31">
        <f t="shared" si="266"/>
        <v>0</v>
      </c>
      <c r="N332" s="31">
        <f t="shared" si="267"/>
        <v>0</v>
      </c>
      <c r="O332" s="43">
        <f t="shared" si="268"/>
        <v>0</v>
      </c>
      <c r="P332" s="49">
        <f t="shared" si="269"/>
        <v>0</v>
      </c>
      <c r="Q332" s="47">
        <f t="shared" si="270"/>
        <v>18.134715025906736</v>
      </c>
      <c r="R332" s="66">
        <f t="shared" si="271"/>
        <v>858.14285714285711</v>
      </c>
      <c r="S332" s="92">
        <f t="shared" si="264"/>
        <v>0</v>
      </c>
      <c r="T332" s="93">
        <f t="shared" si="272"/>
        <v>0</v>
      </c>
      <c r="V332" s="98" t="str">
        <f t="shared" si="273"/>
        <v>NB</v>
      </c>
      <c r="W332" s="100">
        <f t="shared" si="274"/>
        <v>400.84916522740355</v>
      </c>
      <c r="X332" s="103">
        <f t="shared" si="275"/>
        <v>2.2720468555007338E-3</v>
      </c>
    </row>
    <row r="333" spans="2:24" x14ac:dyDescent="0.3">
      <c r="B333" s="5" t="s">
        <v>18</v>
      </c>
      <c r="C333" s="9">
        <v>26</v>
      </c>
      <c r="D333" s="15">
        <v>0.154</v>
      </c>
      <c r="E333" s="9">
        <v>24</v>
      </c>
      <c r="F333" s="9">
        <v>0</v>
      </c>
      <c r="G333" s="9">
        <v>2543</v>
      </c>
      <c r="H333" s="1">
        <f t="shared" si="265"/>
        <v>2</v>
      </c>
      <c r="I333" s="9"/>
      <c r="J333" s="9"/>
      <c r="K333" s="22">
        <f t="shared" si="262"/>
        <v>16512.987012987014</v>
      </c>
      <c r="L333" s="22">
        <f t="shared" si="263"/>
        <v>168.83116883116884</v>
      </c>
      <c r="M333" s="31">
        <f t="shared" si="266"/>
        <v>0</v>
      </c>
      <c r="N333" s="31">
        <f t="shared" si="267"/>
        <v>0</v>
      </c>
      <c r="O333" s="44">
        <f t="shared" si="268"/>
        <v>0</v>
      </c>
      <c r="P333" s="49">
        <f t="shared" si="269"/>
        <v>0</v>
      </c>
      <c r="Q333" s="47">
        <f t="shared" si="270"/>
        <v>12.987012987012987</v>
      </c>
      <c r="R333" s="66">
        <f t="shared" si="271"/>
        <v>1271.5</v>
      </c>
      <c r="S333" s="92">
        <f t="shared" si="264"/>
        <v>0</v>
      </c>
      <c r="T333" s="93">
        <f t="shared" si="272"/>
        <v>0</v>
      </c>
      <c r="V333" s="98" t="str">
        <f t="shared" si="273"/>
        <v>PEI</v>
      </c>
      <c r="W333" s="100">
        <f t="shared" si="274"/>
        <v>400.93795093795092</v>
      </c>
      <c r="X333" s="103">
        <f t="shared" si="275"/>
        <v>2.3651020880570499E-3</v>
      </c>
    </row>
    <row r="334" spans="2:24" ht="15" thickBot="1" x14ac:dyDescent="0.35">
      <c r="B334" s="5" t="s">
        <v>11</v>
      </c>
      <c r="C334" s="9">
        <v>256</v>
      </c>
      <c r="D334" s="15">
        <v>0.52400000000000002</v>
      </c>
      <c r="E334" s="9">
        <v>205</v>
      </c>
      <c r="F334" s="9">
        <v>3</v>
      </c>
      <c r="G334" s="9">
        <v>6902</v>
      </c>
      <c r="H334" s="9">
        <f t="shared" si="265"/>
        <v>48</v>
      </c>
      <c r="I334" s="9"/>
      <c r="J334" s="9"/>
      <c r="K334" s="22">
        <f t="shared" si="262"/>
        <v>13171.755725190838</v>
      </c>
      <c r="L334" s="22">
        <f t="shared" si="263"/>
        <v>488.54961832061065</v>
      </c>
      <c r="M334" s="31">
        <f t="shared" si="266"/>
        <v>-0.1111111111111111</v>
      </c>
      <c r="N334" s="32">
        <f t="shared" si="267"/>
        <v>1.4423076923076924E-2</v>
      </c>
      <c r="O334" s="44">
        <f t="shared" si="268"/>
        <v>5.7251908396946565</v>
      </c>
      <c r="P334" s="50">
        <f t="shared" si="269"/>
        <v>1.171875E-2</v>
      </c>
      <c r="Q334" s="48">
        <f t="shared" si="270"/>
        <v>91.603053435114504</v>
      </c>
      <c r="R334" s="67">
        <f t="shared" si="271"/>
        <v>143.79166666666666</v>
      </c>
      <c r="S334" s="92">
        <f t="shared" si="264"/>
        <v>0</v>
      </c>
      <c r="T334" s="93">
        <f t="shared" si="272"/>
        <v>0</v>
      </c>
      <c r="V334" s="99" t="str">
        <f t="shared" si="273"/>
        <v>NFLD</v>
      </c>
      <c r="W334" s="107">
        <f t="shared" si="274"/>
        <v>77.238608990670059</v>
      </c>
      <c r="X334" s="103">
        <f t="shared" si="275"/>
        <v>8.5800123717865735E-3</v>
      </c>
    </row>
    <row r="335" spans="2:24" ht="15" thickBot="1" x14ac:dyDescent="0.35">
      <c r="B335" s="11" t="s">
        <v>10</v>
      </c>
      <c r="C335" s="12">
        <v>42110</v>
      </c>
      <c r="D335" s="16">
        <v>37.6</v>
      </c>
      <c r="E335" s="12">
        <v>14761</v>
      </c>
      <c r="F335" s="12">
        <v>2147</v>
      </c>
      <c r="G335" s="12">
        <f>SUM(G325:G334)</f>
        <v>652337</v>
      </c>
      <c r="H335" s="81">
        <f t="shared" si="265"/>
        <v>25202</v>
      </c>
      <c r="I335" s="111"/>
      <c r="J335" s="111"/>
      <c r="K335" s="77">
        <f t="shared" si="262"/>
        <v>17349.388297872341</v>
      </c>
      <c r="L335" s="23">
        <f t="shared" si="263"/>
        <v>1119.9468085106382</v>
      </c>
      <c r="M335" s="31">
        <f t="shared" si="266"/>
        <v>4.011555922410235E-2</v>
      </c>
      <c r="N335" s="33">
        <f t="shared" si="267"/>
        <v>0.12698131062219067</v>
      </c>
      <c r="O335" s="45">
        <f>F335/D335</f>
        <v>57.101063829787229</v>
      </c>
      <c r="P335" s="53">
        <f t="shared" si="269"/>
        <v>5.098551412966041E-2</v>
      </c>
      <c r="Q335" s="55">
        <f t="shared" si="270"/>
        <v>670.26595744680844</v>
      </c>
      <c r="R335" s="74">
        <f t="shared" si="271"/>
        <v>25.884334576620905</v>
      </c>
      <c r="S335" s="92">
        <f t="shared" si="264"/>
        <v>51.063829787234042</v>
      </c>
      <c r="T335" s="93">
        <f t="shared" si="272"/>
        <v>4.6010638297872335</v>
      </c>
      <c r="V335" s="108" t="str">
        <f t="shared" si="273"/>
        <v>Canada</v>
      </c>
      <c r="W335" s="109">
        <f t="shared" si="274"/>
        <v>7.9393565436797529</v>
      </c>
      <c r="X335" s="103">
        <f t="shared" si="275"/>
        <v>1.4932624113475176E-2</v>
      </c>
    </row>
    <row r="336" spans="2:24" ht="15" thickBot="1" x14ac:dyDescent="0.35">
      <c r="B336" s="6" t="s">
        <v>9</v>
      </c>
      <c r="C336" s="7">
        <v>859318</v>
      </c>
      <c r="D336" s="7">
        <v>327</v>
      </c>
      <c r="E336" s="7">
        <v>85010</v>
      </c>
      <c r="F336" s="7">
        <v>49648</v>
      </c>
      <c r="G336" s="7">
        <v>4660250</v>
      </c>
      <c r="H336" s="82">
        <f t="shared" si="265"/>
        <v>724660</v>
      </c>
      <c r="I336" s="112"/>
      <c r="J336" s="112"/>
      <c r="K336" s="78">
        <f t="shared" si="262"/>
        <v>14251.529051987767</v>
      </c>
      <c r="L336" s="24">
        <f t="shared" si="263"/>
        <v>2627.8837920489295</v>
      </c>
      <c r="M336" s="31">
        <f t="shared" si="266"/>
        <v>4.1782873967072844E-2</v>
      </c>
      <c r="N336" s="33">
        <f t="shared" si="267"/>
        <v>0.36869699535118594</v>
      </c>
      <c r="O336" s="46">
        <f>F336/D336</f>
        <v>151.82874617737002</v>
      </c>
      <c r="P336" s="52">
        <f t="shared" si="269"/>
        <v>5.7776050309664179E-2</v>
      </c>
      <c r="Q336" s="54">
        <f t="shared" si="270"/>
        <v>2216.0856269113151</v>
      </c>
      <c r="R336" s="72">
        <f t="shared" si="271"/>
        <v>6.4309469268346531</v>
      </c>
      <c r="S336" s="92">
        <f t="shared" si="264"/>
        <v>99.027522935779814</v>
      </c>
      <c r="T336" s="93">
        <f t="shared" si="272"/>
        <v>6.7828746177370034</v>
      </c>
      <c r="V336" s="108" t="str">
        <f t="shared" si="273"/>
        <v>USA</v>
      </c>
      <c r="W336" s="109">
        <f t="shared" si="274"/>
        <v>15.169345598669493</v>
      </c>
      <c r="X336" s="103">
        <f t="shared" si="275"/>
        <v>4.265476931738587E-2</v>
      </c>
    </row>
    <row r="337" spans="2:24" ht="15" thickBot="1" x14ac:dyDescent="0.35"/>
    <row r="338" spans="2:24" ht="28.8" x14ac:dyDescent="0.3">
      <c r="B338" s="17">
        <v>45383</v>
      </c>
      <c r="C338" s="18" t="s">
        <v>8</v>
      </c>
      <c r="D338" s="19" t="s">
        <v>17</v>
      </c>
      <c r="E338" s="19" t="s">
        <v>15</v>
      </c>
      <c r="F338" s="19" t="s">
        <v>16</v>
      </c>
      <c r="G338" s="19" t="s">
        <v>14</v>
      </c>
      <c r="H338" s="19" t="s">
        <v>38</v>
      </c>
      <c r="I338" s="19"/>
      <c r="J338" s="19"/>
      <c r="K338" s="19" t="s">
        <v>21</v>
      </c>
      <c r="L338" s="19" t="s">
        <v>20</v>
      </c>
      <c r="M338" s="19" t="s">
        <v>40</v>
      </c>
      <c r="N338" s="19" t="s">
        <v>32</v>
      </c>
      <c r="O338" s="19" t="s">
        <v>22</v>
      </c>
      <c r="P338" s="51" t="s">
        <v>34</v>
      </c>
      <c r="Q338" s="20" t="s">
        <v>35</v>
      </c>
      <c r="R338" s="63" t="s">
        <v>39</v>
      </c>
      <c r="S338" s="91" t="s">
        <v>43</v>
      </c>
      <c r="T338" s="91" t="s">
        <v>44</v>
      </c>
    </row>
    <row r="339" spans="2:24" x14ac:dyDescent="0.3">
      <c r="B339" s="3" t="s">
        <v>0</v>
      </c>
      <c r="C339" s="1">
        <v>13519</v>
      </c>
      <c r="D339" s="14">
        <v>14.45</v>
      </c>
      <c r="E339" s="1">
        <v>7087</v>
      </c>
      <c r="F339" s="1">
        <v>763</v>
      </c>
      <c r="G339" s="1">
        <v>207040</v>
      </c>
      <c r="H339" s="1">
        <f>C339-E339-F339</f>
        <v>5669</v>
      </c>
      <c r="I339" s="1"/>
      <c r="J339" s="1"/>
      <c r="K339" s="21">
        <f t="shared" ref="K339:K350" si="276">G339/D339</f>
        <v>14328.0276816609</v>
      </c>
      <c r="L339" s="21">
        <f t="shared" ref="L339:L350" si="277">C339/D339</f>
        <v>935.57093425605547</v>
      </c>
      <c r="M339" s="31">
        <f>(H339-H325)/H325</f>
        <v>3.3357637623040469E-2</v>
      </c>
      <c r="N339" s="31">
        <f>F339/(E339+F339)</f>
        <v>9.7197452229299361E-2</v>
      </c>
      <c r="O339" s="43">
        <f>F339/D339</f>
        <v>52.802768166089969</v>
      </c>
      <c r="P339" s="49">
        <f>F339/C339</f>
        <v>5.6439085731193134E-2</v>
      </c>
      <c r="Q339" s="47">
        <f>(C339-E339-F339)/D339</f>
        <v>392.31833910034607</v>
      </c>
      <c r="R339" s="66">
        <f>G339/H339</f>
        <v>36.521432351384725</v>
      </c>
      <c r="S339" s="92">
        <f t="shared" ref="S339:S350" si="278">(C339-C325)/D339</f>
        <v>44.29065743944637</v>
      </c>
      <c r="T339" s="93">
        <f>(F339-F325)/D339</f>
        <v>3.4602076124567476</v>
      </c>
    </row>
    <row r="340" spans="2:24" x14ac:dyDescent="0.3">
      <c r="B340" s="5" t="s">
        <v>1</v>
      </c>
      <c r="C340" s="1">
        <v>22616</v>
      </c>
      <c r="D340" s="14">
        <v>8.43</v>
      </c>
      <c r="E340" s="1">
        <v>4724</v>
      </c>
      <c r="F340" s="1">
        <v>1340</v>
      </c>
      <c r="G340" s="1">
        <v>183840</v>
      </c>
      <c r="H340" s="1">
        <f t="shared" ref="H340:H350" si="279">C340-E340-F340</f>
        <v>16552</v>
      </c>
      <c r="I340" s="1"/>
      <c r="J340" s="1"/>
      <c r="K340" s="21">
        <f t="shared" si="276"/>
        <v>21807.829181494664</v>
      </c>
      <c r="L340" s="21">
        <f t="shared" si="277"/>
        <v>2682.7995255041519</v>
      </c>
      <c r="M340" s="31">
        <f t="shared" ref="M340:M350" si="280">(H340-H326)/H326</f>
        <v>2.7372602569672895E-2</v>
      </c>
      <c r="N340" s="31">
        <f t="shared" ref="N340:N350" si="281">F340/(E340+F340)</f>
        <v>0.22097625329815304</v>
      </c>
      <c r="O340" s="43">
        <f t="shared" ref="O340:O348" si="282">F340/D340</f>
        <v>158.95610913404508</v>
      </c>
      <c r="P340" s="49">
        <f t="shared" ref="P340:P350" si="283">F340/C340</f>
        <v>5.9250088432967814E-2</v>
      </c>
      <c r="Q340" s="47">
        <f t="shared" ref="Q340:Q350" si="284">(C340-E340-F340)/D340</f>
        <v>1963.4638196915778</v>
      </c>
      <c r="R340" s="66">
        <f t="shared" ref="R340:R350" si="285">G340/H340</f>
        <v>11.10681488641856</v>
      </c>
      <c r="S340" s="92">
        <f t="shared" si="278"/>
        <v>92.289442467378407</v>
      </c>
      <c r="T340" s="93">
        <f t="shared" ref="T340:T350" si="286">(F340-F326)/D340</f>
        <v>11.506524317912218</v>
      </c>
    </row>
    <row r="341" spans="2:24" x14ac:dyDescent="0.3">
      <c r="B341" s="5" t="s">
        <v>2</v>
      </c>
      <c r="C341" s="1">
        <v>1853</v>
      </c>
      <c r="D341" s="14">
        <v>5.0199999999999996</v>
      </c>
      <c r="E341" s="1">
        <v>1114</v>
      </c>
      <c r="F341" s="1">
        <v>98</v>
      </c>
      <c r="G341" s="1">
        <v>71415</v>
      </c>
      <c r="H341" s="1">
        <f t="shared" si="279"/>
        <v>641</v>
      </c>
      <c r="I341" s="1"/>
      <c r="J341" s="1"/>
      <c r="K341" s="21">
        <f t="shared" si="276"/>
        <v>14226.095617529882</v>
      </c>
      <c r="L341" s="21">
        <f t="shared" si="277"/>
        <v>369.12350597609566</v>
      </c>
      <c r="M341" s="31">
        <f t="shared" si="280"/>
        <v>4.7021943573667714E-3</v>
      </c>
      <c r="N341" s="31">
        <f t="shared" si="281"/>
        <v>8.0858085808580851E-2</v>
      </c>
      <c r="O341" s="43">
        <f t="shared" si="282"/>
        <v>19.52191235059761</v>
      </c>
      <c r="P341" s="49">
        <f t="shared" si="283"/>
        <v>5.2887209929843498E-2</v>
      </c>
      <c r="Q341" s="47">
        <f t="shared" si="284"/>
        <v>127.68924302788845</v>
      </c>
      <c r="R341" s="66">
        <f t="shared" si="285"/>
        <v>111.41185647425897</v>
      </c>
      <c r="S341" s="92">
        <f t="shared" si="278"/>
        <v>5.7768924302788847</v>
      </c>
      <c r="T341" s="93">
        <f t="shared" si="286"/>
        <v>0.79681274900398413</v>
      </c>
    </row>
    <row r="342" spans="2:24" x14ac:dyDescent="0.3">
      <c r="B342" s="5" t="s">
        <v>3</v>
      </c>
      <c r="C342" s="1">
        <v>4017</v>
      </c>
      <c r="D342" s="14">
        <v>4.34</v>
      </c>
      <c r="E342" s="1">
        <v>1397</v>
      </c>
      <c r="F342" s="1">
        <v>72</v>
      </c>
      <c r="G342" s="1">
        <v>122447</v>
      </c>
      <c r="H342" s="1">
        <f t="shared" si="279"/>
        <v>2548</v>
      </c>
      <c r="I342" s="1"/>
      <c r="J342" s="1"/>
      <c r="K342" s="21">
        <f t="shared" si="276"/>
        <v>28213.594470046082</v>
      </c>
      <c r="L342" s="21">
        <f t="shared" si="277"/>
        <v>925.57603686635946</v>
      </c>
      <c r="M342" s="31">
        <f t="shared" si="280"/>
        <v>0.10975609756097561</v>
      </c>
      <c r="N342" s="31">
        <f t="shared" si="281"/>
        <v>4.9012933968686181E-2</v>
      </c>
      <c r="O342" s="43">
        <f t="shared" si="282"/>
        <v>16.589861751152075</v>
      </c>
      <c r="P342" s="49">
        <f t="shared" si="283"/>
        <v>1.7923823749066467E-2</v>
      </c>
      <c r="Q342" s="47">
        <f t="shared" si="284"/>
        <v>587.09677419354841</v>
      </c>
      <c r="R342" s="66">
        <f t="shared" si="285"/>
        <v>48.056122448979593</v>
      </c>
      <c r="S342" s="92">
        <f t="shared" si="278"/>
        <v>68.433179723502306</v>
      </c>
      <c r="T342" s="93">
        <f t="shared" si="286"/>
        <v>1.1520737327188941</v>
      </c>
    </row>
    <row r="343" spans="2:24" x14ac:dyDescent="0.3">
      <c r="B343" s="5" t="s">
        <v>4</v>
      </c>
      <c r="C343" s="1">
        <v>263</v>
      </c>
      <c r="D343" s="14">
        <v>1.36</v>
      </c>
      <c r="E343" s="1">
        <v>196</v>
      </c>
      <c r="F343" s="1">
        <v>6</v>
      </c>
      <c r="G343" s="1">
        <v>22172</v>
      </c>
      <c r="H343" s="1">
        <f t="shared" si="279"/>
        <v>61</v>
      </c>
      <c r="I343" s="1"/>
      <c r="J343" s="1"/>
      <c r="K343" s="21">
        <f t="shared" si="276"/>
        <v>16302.941176470587</v>
      </c>
      <c r="L343" s="21">
        <f t="shared" si="277"/>
        <v>193.38235294117646</v>
      </c>
      <c r="M343" s="31">
        <f t="shared" si="280"/>
        <v>-0.25609756097560976</v>
      </c>
      <c r="N343" s="31">
        <f t="shared" si="281"/>
        <v>2.9702970297029702E-2</v>
      </c>
      <c r="O343" s="43">
        <f t="shared" si="282"/>
        <v>4.4117647058823524</v>
      </c>
      <c r="P343" s="49">
        <f t="shared" si="283"/>
        <v>2.2813688212927757E-2</v>
      </c>
      <c r="Q343" s="47">
        <f t="shared" si="284"/>
        <v>44.852941176470587</v>
      </c>
      <c r="R343" s="66">
        <f t="shared" si="285"/>
        <v>363.47540983606558</v>
      </c>
      <c r="S343" s="92">
        <f t="shared" si="278"/>
        <v>0.73529411764705876</v>
      </c>
      <c r="T343" s="93">
        <f t="shared" si="286"/>
        <v>0</v>
      </c>
    </row>
    <row r="344" spans="2:24" x14ac:dyDescent="0.3">
      <c r="B344" s="5" t="s">
        <v>5</v>
      </c>
      <c r="C344" s="1">
        <v>341</v>
      </c>
      <c r="D344" s="14">
        <v>1.17</v>
      </c>
      <c r="E344" s="1">
        <v>280</v>
      </c>
      <c r="F344" s="1">
        <v>4</v>
      </c>
      <c r="G344" s="1">
        <v>25586</v>
      </c>
      <c r="H344" s="1">
        <f t="shared" si="279"/>
        <v>57</v>
      </c>
      <c r="I344" s="1"/>
      <c r="J344" s="1"/>
      <c r="K344" s="21">
        <f t="shared" si="276"/>
        <v>21868.37606837607</v>
      </c>
      <c r="L344" s="21">
        <f t="shared" si="277"/>
        <v>291.45299145299145</v>
      </c>
      <c r="M344" s="31">
        <f t="shared" si="280"/>
        <v>0</v>
      </c>
      <c r="N344" s="31">
        <f t="shared" si="281"/>
        <v>1.4084507042253521E-2</v>
      </c>
      <c r="O344" s="43">
        <f t="shared" si="282"/>
        <v>3.4188034188034191</v>
      </c>
      <c r="P344" s="49">
        <f t="shared" si="283"/>
        <v>1.1730205278592375E-2</v>
      </c>
      <c r="Q344" s="47">
        <f t="shared" si="284"/>
        <v>48.717948717948723</v>
      </c>
      <c r="R344" s="66">
        <f t="shared" si="285"/>
        <v>448.87719298245617</v>
      </c>
      <c r="S344" s="92">
        <f t="shared" si="278"/>
        <v>8.5470085470085468</v>
      </c>
      <c r="T344" s="93">
        <f t="shared" si="286"/>
        <v>0</v>
      </c>
    </row>
    <row r="345" spans="2:24" x14ac:dyDescent="0.3">
      <c r="B345" s="5" t="s">
        <v>6</v>
      </c>
      <c r="C345" s="1">
        <v>850</v>
      </c>
      <c r="D345" s="14">
        <v>0.96499999999999997</v>
      </c>
      <c r="E345" s="1">
        <v>392</v>
      </c>
      <c r="F345" s="95">
        <v>16</v>
      </c>
      <c r="G345" s="1">
        <f>24521+C345</f>
        <v>25371</v>
      </c>
      <c r="H345" s="1">
        <f t="shared" si="279"/>
        <v>442</v>
      </c>
      <c r="I345" s="1"/>
      <c r="J345" s="1"/>
      <c r="K345" s="21">
        <f t="shared" si="276"/>
        <v>26291.191709844559</v>
      </c>
      <c r="L345" s="21">
        <f t="shared" si="277"/>
        <v>880.82901554404145</v>
      </c>
      <c r="M345" s="31">
        <f t="shared" si="280"/>
        <v>-2.4282560706401765E-2</v>
      </c>
      <c r="N345" s="31">
        <f t="shared" si="281"/>
        <v>3.9215686274509803E-2</v>
      </c>
      <c r="O345" s="43">
        <f t="shared" si="282"/>
        <v>16.580310880829018</v>
      </c>
      <c r="P345" s="49">
        <f t="shared" si="283"/>
        <v>1.8823529411764704E-2</v>
      </c>
      <c r="Q345" s="47">
        <f t="shared" si="284"/>
        <v>458.03108808290159</v>
      </c>
      <c r="R345" s="66">
        <f t="shared" si="285"/>
        <v>57.400452488687783</v>
      </c>
      <c r="S345" s="92">
        <f t="shared" si="278"/>
        <v>23.834196891191709</v>
      </c>
      <c r="T345" s="93">
        <f t="shared" si="286"/>
        <v>0</v>
      </c>
    </row>
    <row r="346" spans="2:24" x14ac:dyDescent="0.3">
      <c r="B346" s="5" t="s">
        <v>7</v>
      </c>
      <c r="C346" s="1">
        <v>118</v>
      </c>
      <c r="D346" s="14">
        <v>0.77200000000000002</v>
      </c>
      <c r="E346" s="1">
        <v>107</v>
      </c>
      <c r="F346" s="1">
        <v>0</v>
      </c>
      <c r="G346" s="1">
        <v>12014</v>
      </c>
      <c r="H346" s="1">
        <f t="shared" si="279"/>
        <v>11</v>
      </c>
      <c r="I346" s="1"/>
      <c r="J346" s="1"/>
      <c r="K346" s="21">
        <f t="shared" si="276"/>
        <v>15562.176165803108</v>
      </c>
      <c r="L346" s="21">
        <f t="shared" si="277"/>
        <v>152.84974093264248</v>
      </c>
      <c r="M346" s="31">
        <f t="shared" si="280"/>
        <v>-0.21428571428571427</v>
      </c>
      <c r="N346" s="31">
        <f t="shared" si="281"/>
        <v>0</v>
      </c>
      <c r="O346" s="43">
        <f t="shared" si="282"/>
        <v>0</v>
      </c>
      <c r="P346" s="49">
        <f t="shared" si="283"/>
        <v>0</v>
      </c>
      <c r="Q346" s="47">
        <f t="shared" si="284"/>
        <v>14.248704663212434</v>
      </c>
      <c r="R346" s="66">
        <f t="shared" si="285"/>
        <v>1092.1818181818182</v>
      </c>
      <c r="S346" s="92">
        <f t="shared" si="278"/>
        <v>0</v>
      </c>
      <c r="T346" s="93">
        <f t="shared" si="286"/>
        <v>0</v>
      </c>
    </row>
    <row r="347" spans="2:24" x14ac:dyDescent="0.3">
      <c r="B347" s="5" t="s">
        <v>18</v>
      </c>
      <c r="C347" s="9">
        <v>26</v>
      </c>
      <c r="D347" s="15">
        <v>0.154</v>
      </c>
      <c r="E347" s="9">
        <v>24</v>
      </c>
      <c r="F347" s="9">
        <v>0</v>
      </c>
      <c r="G347" s="9">
        <v>2543</v>
      </c>
      <c r="H347" s="1">
        <f t="shared" si="279"/>
        <v>2</v>
      </c>
      <c r="I347" s="9"/>
      <c r="J347" s="9"/>
      <c r="K347" s="22">
        <f t="shared" si="276"/>
        <v>16512.987012987014</v>
      </c>
      <c r="L347" s="22">
        <f t="shared" si="277"/>
        <v>168.83116883116884</v>
      </c>
      <c r="M347" s="31">
        <f t="shared" si="280"/>
        <v>0</v>
      </c>
      <c r="N347" s="31">
        <f t="shared" si="281"/>
        <v>0</v>
      </c>
      <c r="O347" s="44">
        <f t="shared" si="282"/>
        <v>0</v>
      </c>
      <c r="P347" s="49">
        <f t="shared" si="283"/>
        <v>0</v>
      </c>
      <c r="Q347" s="47">
        <f t="shared" si="284"/>
        <v>12.987012987012987</v>
      </c>
      <c r="R347" s="66">
        <f t="shared" si="285"/>
        <v>1271.5</v>
      </c>
      <c r="S347" s="92">
        <f t="shared" si="278"/>
        <v>0</v>
      </c>
      <c r="T347" s="93">
        <f t="shared" si="286"/>
        <v>0</v>
      </c>
    </row>
    <row r="348" spans="2:24" ht="15" thickBot="1" x14ac:dyDescent="0.35">
      <c r="B348" s="5" t="s">
        <v>11</v>
      </c>
      <c r="C348" s="9">
        <v>256</v>
      </c>
      <c r="D348" s="15">
        <v>0.52400000000000002</v>
      </c>
      <c r="E348" s="9">
        <v>207</v>
      </c>
      <c r="F348" s="9">
        <v>3</v>
      </c>
      <c r="G348" s="9">
        <v>7134</v>
      </c>
      <c r="H348" s="9">
        <f t="shared" si="279"/>
        <v>46</v>
      </c>
      <c r="I348" s="9"/>
      <c r="J348" s="9"/>
      <c r="K348" s="22">
        <f t="shared" si="276"/>
        <v>13614.503816793893</v>
      </c>
      <c r="L348" s="22">
        <f t="shared" si="277"/>
        <v>488.54961832061065</v>
      </c>
      <c r="M348" s="31">
        <f t="shared" si="280"/>
        <v>-4.1666666666666664E-2</v>
      </c>
      <c r="N348" s="32">
        <f t="shared" si="281"/>
        <v>1.4285714285714285E-2</v>
      </c>
      <c r="O348" s="44">
        <f t="shared" si="282"/>
        <v>5.7251908396946565</v>
      </c>
      <c r="P348" s="50">
        <f t="shared" si="283"/>
        <v>1.171875E-2</v>
      </c>
      <c r="Q348" s="48">
        <f t="shared" si="284"/>
        <v>87.786259541984734</v>
      </c>
      <c r="R348" s="67">
        <f t="shared" si="285"/>
        <v>155.08695652173913</v>
      </c>
      <c r="S348" s="92">
        <f t="shared" si="278"/>
        <v>0</v>
      </c>
      <c r="T348" s="93">
        <f t="shared" si="286"/>
        <v>0</v>
      </c>
    </row>
    <row r="349" spans="2:24" ht="15" thickBot="1" x14ac:dyDescent="0.35">
      <c r="B349" s="11" t="s">
        <v>10</v>
      </c>
      <c r="C349" s="12">
        <v>43888</v>
      </c>
      <c r="D349" s="16">
        <v>37.6</v>
      </c>
      <c r="E349" s="12">
        <v>15541</v>
      </c>
      <c r="F349" s="12">
        <v>2302</v>
      </c>
      <c r="G349" s="12">
        <f>SUM(G339:G348)</f>
        <v>679562</v>
      </c>
      <c r="H349" s="81">
        <f t="shared" si="279"/>
        <v>26045</v>
      </c>
      <c r="I349" s="111"/>
      <c r="J349" s="111"/>
      <c r="K349" s="77">
        <f t="shared" si="276"/>
        <v>18073.457446808508</v>
      </c>
      <c r="L349" s="23">
        <f t="shared" si="277"/>
        <v>1167.2340425531916</v>
      </c>
      <c r="M349" s="31">
        <f t="shared" si="280"/>
        <v>3.3449726212205377E-2</v>
      </c>
      <c r="N349" s="33">
        <f t="shared" si="281"/>
        <v>0.12901417922995012</v>
      </c>
      <c r="O349" s="45">
        <f>F349/D349</f>
        <v>61.223404255319146</v>
      </c>
      <c r="P349" s="53">
        <f t="shared" si="283"/>
        <v>5.2451695224207069E-2</v>
      </c>
      <c r="Q349" s="55">
        <f t="shared" si="284"/>
        <v>692.68617021276589</v>
      </c>
      <c r="R349" s="74">
        <f t="shared" si="285"/>
        <v>26.091841044346324</v>
      </c>
      <c r="S349" s="92">
        <f t="shared" si="278"/>
        <v>47.287234042553187</v>
      </c>
      <c r="T349" s="93">
        <f t="shared" si="286"/>
        <v>4.1223404255319149</v>
      </c>
    </row>
    <row r="350" spans="2:24" ht="15" thickBot="1" x14ac:dyDescent="0.35">
      <c r="B350" s="6" t="s">
        <v>9</v>
      </c>
      <c r="C350" s="7">
        <v>890816</v>
      </c>
      <c r="D350" s="7">
        <v>327</v>
      </c>
      <c r="E350" s="7">
        <v>90338</v>
      </c>
      <c r="F350" s="7">
        <v>51139</v>
      </c>
      <c r="G350" s="7">
        <v>4883802</v>
      </c>
      <c r="H350" s="82">
        <f t="shared" si="279"/>
        <v>749339</v>
      </c>
      <c r="I350" s="112"/>
      <c r="J350" s="112"/>
      <c r="K350" s="78">
        <f t="shared" si="276"/>
        <v>14935.174311926605</v>
      </c>
      <c r="L350" s="24">
        <f t="shared" si="277"/>
        <v>2724.2079510703365</v>
      </c>
      <c r="M350" s="31">
        <f t="shared" si="280"/>
        <v>3.4055971076090853E-2</v>
      </c>
      <c r="N350" s="33">
        <f t="shared" si="281"/>
        <v>0.3614651144709034</v>
      </c>
      <c r="O350" s="46">
        <f>F350/D350</f>
        <v>156.38837920489297</v>
      </c>
      <c r="P350" s="52">
        <f t="shared" si="283"/>
        <v>5.740691680436813E-2</v>
      </c>
      <c r="Q350" s="54">
        <f t="shared" si="284"/>
        <v>2291.5565749235475</v>
      </c>
      <c r="R350" s="72">
        <f t="shared" si="285"/>
        <v>6.5174800724371744</v>
      </c>
      <c r="S350" s="92">
        <f t="shared" si="278"/>
        <v>96.324159021406729</v>
      </c>
      <c r="T350" s="93">
        <f t="shared" si="286"/>
        <v>4.5596330275229358</v>
      </c>
    </row>
    <row r="351" spans="2:24" ht="15" thickBot="1" x14ac:dyDescent="0.35"/>
    <row r="352" spans="2:24" ht="29.4" thickBot="1" x14ac:dyDescent="0.35">
      <c r="B352" s="17">
        <v>45748</v>
      </c>
      <c r="C352" s="18" t="s">
        <v>8</v>
      </c>
      <c r="D352" s="19" t="s">
        <v>17</v>
      </c>
      <c r="E352" s="19" t="s">
        <v>15</v>
      </c>
      <c r="F352" s="19" t="s">
        <v>16</v>
      </c>
      <c r="G352" s="19" t="s">
        <v>14</v>
      </c>
      <c r="H352" s="19" t="s">
        <v>38</v>
      </c>
      <c r="I352" s="19"/>
      <c r="J352" s="19"/>
      <c r="K352" s="19" t="s">
        <v>21</v>
      </c>
      <c r="L352" s="19" t="s">
        <v>20</v>
      </c>
      <c r="M352" s="19" t="s">
        <v>40</v>
      </c>
      <c r="N352" s="19" t="s">
        <v>32</v>
      </c>
      <c r="O352" s="19" t="s">
        <v>22</v>
      </c>
      <c r="P352" s="51" t="s">
        <v>34</v>
      </c>
      <c r="Q352" s="20" t="s">
        <v>35</v>
      </c>
      <c r="R352" s="63" t="s">
        <v>39</v>
      </c>
      <c r="S352" s="91" t="s">
        <v>43</v>
      </c>
      <c r="T352" s="91" t="s">
        <v>44</v>
      </c>
      <c r="V352" s="104" t="s">
        <v>48</v>
      </c>
      <c r="W352" s="105" t="s">
        <v>49</v>
      </c>
      <c r="X352" s="106" t="s">
        <v>50</v>
      </c>
    </row>
    <row r="353" spans="2:24" x14ac:dyDescent="0.3">
      <c r="B353" s="3" t="s">
        <v>0</v>
      </c>
      <c r="C353" s="1">
        <v>13995</v>
      </c>
      <c r="D353" s="14">
        <v>14.45</v>
      </c>
      <c r="E353" s="1">
        <v>7509</v>
      </c>
      <c r="F353" s="1">
        <v>811</v>
      </c>
      <c r="G353" s="1">
        <v>217618</v>
      </c>
      <c r="H353" s="1">
        <f>C353-E353-F353</f>
        <v>5675</v>
      </c>
      <c r="I353" s="1"/>
      <c r="J353" s="1"/>
      <c r="K353" s="21">
        <f t="shared" ref="K353:K364" si="287">G353/D353</f>
        <v>15060.069204152251</v>
      </c>
      <c r="L353" s="21">
        <f t="shared" ref="L353:L364" si="288">C353/D353</f>
        <v>968.51211072664364</v>
      </c>
      <c r="M353" s="31">
        <f>(H353-H339)/H339</f>
        <v>1.0583877227024166E-3</v>
      </c>
      <c r="N353" s="31">
        <f>F353/(E353+F353)</f>
        <v>9.7475961538461539E-2</v>
      </c>
      <c r="O353" s="43">
        <f>F353/D353</f>
        <v>56.124567474048447</v>
      </c>
      <c r="P353" s="49">
        <f>F353/C353</f>
        <v>5.7949267595569849E-2</v>
      </c>
      <c r="Q353" s="47">
        <f>(C353-E353-F353)/D353</f>
        <v>392.73356401384086</v>
      </c>
      <c r="R353" s="66">
        <f>G353/H353</f>
        <v>38.346784140969163</v>
      </c>
      <c r="S353" s="92">
        <f t="shared" ref="S353:S364" si="289">(C353-C339)/D353</f>
        <v>32.941176470588239</v>
      </c>
      <c r="T353" s="93">
        <f>(F353-F339)/D353</f>
        <v>3.3217993079584778</v>
      </c>
      <c r="V353" s="101" t="str">
        <f>B353</f>
        <v>ON</v>
      </c>
      <c r="W353" s="102">
        <f>C353/D353/180+IFERROR((D353*C353*5)/(F353*F353),400)</f>
        <v>6.9179597172934919</v>
      </c>
      <c r="X353" s="103">
        <f>L353/75000/K353*K$353</f>
        <v>1.2913494809688581E-2</v>
      </c>
    </row>
    <row r="354" spans="2:24" x14ac:dyDescent="0.3">
      <c r="B354" s="5" t="s">
        <v>1</v>
      </c>
      <c r="C354" s="1">
        <v>23267</v>
      </c>
      <c r="D354" s="14">
        <v>8.43</v>
      </c>
      <c r="E354" s="1">
        <v>5057</v>
      </c>
      <c r="F354" s="1">
        <v>1446</v>
      </c>
      <c r="G354" s="1">
        <v>190765</v>
      </c>
      <c r="H354" s="1">
        <f t="shared" ref="H354:H364" si="290">C354-E354-F354</f>
        <v>16764</v>
      </c>
      <c r="I354" s="1"/>
      <c r="J354" s="1"/>
      <c r="K354" s="21">
        <f t="shared" si="287"/>
        <v>22629.300118623963</v>
      </c>
      <c r="L354" s="21">
        <f t="shared" si="288"/>
        <v>2760.0237247924083</v>
      </c>
      <c r="M354" s="31">
        <f t="shared" ref="M354:M364" si="291">(H354-H340)/H340</f>
        <v>1.2808119864668923E-2</v>
      </c>
      <c r="N354" s="31">
        <f t="shared" ref="N354:N364" si="292">F354/(E354+F354)</f>
        <v>0.22235891127172075</v>
      </c>
      <c r="O354" s="43">
        <f t="shared" ref="O354:O362" si="293">F354/D354</f>
        <v>171.53024911032028</v>
      </c>
      <c r="P354" s="49">
        <f t="shared" ref="P354:P364" si="294">F354/C354</f>
        <v>6.2148106760648129E-2</v>
      </c>
      <c r="Q354" s="47">
        <f t="shared" ref="Q354:Q364" si="295">(C354-E354-F354)/D354</f>
        <v>1988.6120996441282</v>
      </c>
      <c r="R354" s="66">
        <f t="shared" ref="R354:R364" si="296">G354/H354</f>
        <v>11.379444046766881</v>
      </c>
      <c r="S354" s="92">
        <f t="shared" si="289"/>
        <v>77.22419928825623</v>
      </c>
      <c r="T354" s="93">
        <f t="shared" ref="T354:T364" si="297">(F354-F340)/D354</f>
        <v>12.574139976275209</v>
      </c>
      <c r="V354" s="98" t="str">
        <f t="shared" ref="V354:V364" si="298">B354</f>
        <v>QC</v>
      </c>
      <c r="W354" s="100">
        <f t="shared" ref="W354:W364" si="299">C354/D354/180+IFERROR((D354*C354*5)/(F354*F354),400)</f>
        <v>15.802495959633754</v>
      </c>
      <c r="X354" s="103">
        <f t="shared" ref="X354:X364" si="300">L354/75000/K354*K$353</f>
        <v>2.449104955821808E-2</v>
      </c>
    </row>
    <row r="355" spans="2:24" x14ac:dyDescent="0.3">
      <c r="B355" s="5" t="s">
        <v>2</v>
      </c>
      <c r="C355" s="1">
        <v>1948</v>
      </c>
      <c r="D355" s="14">
        <v>5.0199999999999996</v>
      </c>
      <c r="E355" s="1">
        <v>1137</v>
      </c>
      <c r="F355" s="1">
        <v>100</v>
      </c>
      <c r="G355" s="1">
        <v>71415</v>
      </c>
      <c r="H355" s="1">
        <f t="shared" si="290"/>
        <v>711</v>
      </c>
      <c r="I355" s="1"/>
      <c r="J355" s="1"/>
      <c r="K355" s="21">
        <f t="shared" si="287"/>
        <v>14226.095617529882</v>
      </c>
      <c r="L355" s="21">
        <f t="shared" si="288"/>
        <v>388.04780876494027</v>
      </c>
      <c r="M355" s="31">
        <f t="shared" si="291"/>
        <v>0.10920436817472699</v>
      </c>
      <c r="N355" s="31">
        <f t="shared" si="292"/>
        <v>8.084074373484236E-2</v>
      </c>
      <c r="O355" s="43">
        <f t="shared" si="293"/>
        <v>19.920318725099602</v>
      </c>
      <c r="P355" s="49">
        <f t="shared" si="294"/>
        <v>5.1334702258726897E-2</v>
      </c>
      <c r="Q355" s="47">
        <f t="shared" si="295"/>
        <v>141.63346613545818</v>
      </c>
      <c r="R355" s="66">
        <f t="shared" si="296"/>
        <v>100.44303797468355</v>
      </c>
      <c r="S355" s="92">
        <f t="shared" si="289"/>
        <v>18.924302788844624</v>
      </c>
      <c r="T355" s="93">
        <f t="shared" si="297"/>
        <v>0.39840637450199207</v>
      </c>
      <c r="V355" s="98" t="str">
        <f t="shared" si="298"/>
        <v>BC</v>
      </c>
      <c r="W355" s="100">
        <f t="shared" si="299"/>
        <v>7.0453011598052235</v>
      </c>
      <c r="X355" s="103">
        <f t="shared" si="300"/>
        <v>5.4772834483303844E-3</v>
      </c>
    </row>
    <row r="356" spans="2:24" x14ac:dyDescent="0.3">
      <c r="B356" s="5" t="s">
        <v>3</v>
      </c>
      <c r="C356" s="1">
        <v>4223</v>
      </c>
      <c r="D356" s="14">
        <v>4.34</v>
      </c>
      <c r="E356" s="1">
        <v>1471</v>
      </c>
      <c r="F356" s="1">
        <v>73</v>
      </c>
      <c r="G356" s="1">
        <v>127165</v>
      </c>
      <c r="H356" s="1">
        <f t="shared" si="290"/>
        <v>2679</v>
      </c>
      <c r="I356" s="1"/>
      <c r="J356" s="1"/>
      <c r="K356" s="21">
        <f t="shared" si="287"/>
        <v>29300.691244239631</v>
      </c>
      <c r="L356" s="21">
        <f t="shared" si="288"/>
        <v>973.04147465437791</v>
      </c>
      <c r="M356" s="31">
        <f t="shared" si="291"/>
        <v>5.1412872841444267E-2</v>
      </c>
      <c r="N356" s="31">
        <f t="shared" si="292"/>
        <v>4.7279792746113991E-2</v>
      </c>
      <c r="O356" s="43">
        <f t="shared" si="293"/>
        <v>16.820276497695854</v>
      </c>
      <c r="P356" s="49">
        <f t="shared" si="294"/>
        <v>1.7286289367748047E-2</v>
      </c>
      <c r="Q356" s="47">
        <f t="shared" si="295"/>
        <v>617.28110599078343</v>
      </c>
      <c r="R356" s="66">
        <f t="shared" si="296"/>
        <v>47.467338559163871</v>
      </c>
      <c r="S356" s="92">
        <f t="shared" si="289"/>
        <v>47.465437788018434</v>
      </c>
      <c r="T356" s="93">
        <f t="shared" si="297"/>
        <v>0.2304147465437788</v>
      </c>
      <c r="V356" s="98" t="str">
        <f t="shared" si="298"/>
        <v>AL</v>
      </c>
      <c r="W356" s="100">
        <f t="shared" si="299"/>
        <v>22.602089216689791</v>
      </c>
      <c r="X356" s="103">
        <f t="shared" si="300"/>
        <v>6.6683623375546159E-3</v>
      </c>
    </row>
    <row r="357" spans="2:24" x14ac:dyDescent="0.3">
      <c r="B357" s="5" t="s">
        <v>4</v>
      </c>
      <c r="C357" s="1">
        <v>267</v>
      </c>
      <c r="D357" s="14">
        <v>1.36</v>
      </c>
      <c r="E357" s="1">
        <v>199</v>
      </c>
      <c r="F357" s="1">
        <v>6</v>
      </c>
      <c r="G357" s="1">
        <v>22598</v>
      </c>
      <c r="H357" s="1">
        <f t="shared" si="290"/>
        <v>62</v>
      </c>
      <c r="I357" s="1"/>
      <c r="J357" s="1"/>
      <c r="K357" s="21">
        <f t="shared" si="287"/>
        <v>16616.176470588234</v>
      </c>
      <c r="L357" s="21">
        <f t="shared" si="288"/>
        <v>196.3235294117647</v>
      </c>
      <c r="M357" s="31">
        <f t="shared" si="291"/>
        <v>1.6393442622950821E-2</v>
      </c>
      <c r="N357" s="31">
        <f t="shared" si="292"/>
        <v>2.9268292682926831E-2</v>
      </c>
      <c r="O357" s="43">
        <f t="shared" si="293"/>
        <v>4.4117647058823524</v>
      </c>
      <c r="P357" s="49">
        <f t="shared" si="294"/>
        <v>2.247191011235955E-2</v>
      </c>
      <c r="Q357" s="47">
        <f t="shared" si="295"/>
        <v>45.588235294117645</v>
      </c>
      <c r="R357" s="66">
        <f t="shared" si="296"/>
        <v>364.48387096774195</v>
      </c>
      <c r="S357" s="92">
        <f t="shared" si="289"/>
        <v>2.9411764705882351</v>
      </c>
      <c r="T357" s="93">
        <f t="shared" si="297"/>
        <v>0</v>
      </c>
      <c r="V357" s="98" t="str">
        <f t="shared" si="298"/>
        <v>MA</v>
      </c>
      <c r="W357" s="100">
        <f t="shared" si="299"/>
        <v>51.524019607843137</v>
      </c>
      <c r="X357" s="103">
        <f t="shared" si="300"/>
        <v>2.3725040431357646E-3</v>
      </c>
    </row>
    <row r="358" spans="2:24" x14ac:dyDescent="0.3">
      <c r="B358" s="5" t="s">
        <v>5</v>
      </c>
      <c r="C358" s="1">
        <v>349</v>
      </c>
      <c r="D358" s="14">
        <v>1.17</v>
      </c>
      <c r="E358" s="1">
        <v>288</v>
      </c>
      <c r="F358" s="1">
        <v>4</v>
      </c>
      <c r="G358" s="1">
        <v>27232</v>
      </c>
      <c r="H358" s="1">
        <f t="shared" si="290"/>
        <v>57</v>
      </c>
      <c r="I358" s="1"/>
      <c r="J358" s="1"/>
      <c r="K358" s="21">
        <f t="shared" si="287"/>
        <v>23275.213675213676</v>
      </c>
      <c r="L358" s="21">
        <f t="shared" si="288"/>
        <v>298.29059829059833</v>
      </c>
      <c r="M358" s="31">
        <f t="shared" si="291"/>
        <v>0</v>
      </c>
      <c r="N358" s="31">
        <f t="shared" si="292"/>
        <v>1.3698630136986301E-2</v>
      </c>
      <c r="O358" s="43">
        <f t="shared" si="293"/>
        <v>3.4188034188034191</v>
      </c>
      <c r="P358" s="49">
        <f t="shared" si="294"/>
        <v>1.1461318051575931E-2</v>
      </c>
      <c r="Q358" s="47">
        <f t="shared" si="295"/>
        <v>48.717948717948723</v>
      </c>
      <c r="R358" s="66">
        <f t="shared" si="296"/>
        <v>477.75438596491227</v>
      </c>
      <c r="S358" s="92">
        <f t="shared" si="289"/>
        <v>6.8376068376068382</v>
      </c>
      <c r="T358" s="93">
        <f t="shared" si="297"/>
        <v>0</v>
      </c>
      <c r="V358" s="98" t="str">
        <f t="shared" si="298"/>
        <v>SA</v>
      </c>
      <c r="W358" s="100">
        <f t="shared" si="299"/>
        <v>129.26029499050333</v>
      </c>
      <c r="X358" s="103">
        <f t="shared" si="300"/>
        <v>2.5734254564478733E-3</v>
      </c>
    </row>
    <row r="359" spans="2:24" x14ac:dyDescent="0.3">
      <c r="B359" s="5" t="s">
        <v>6</v>
      </c>
      <c r="C359" s="1">
        <v>865</v>
      </c>
      <c r="D359" s="14">
        <v>0.96499999999999997</v>
      </c>
      <c r="E359" s="1">
        <v>412</v>
      </c>
      <c r="F359" s="1">
        <v>22</v>
      </c>
      <c r="G359" s="1">
        <f>25119+C359</f>
        <v>25984</v>
      </c>
      <c r="H359" s="1">
        <f t="shared" si="290"/>
        <v>431</v>
      </c>
      <c r="I359" s="1"/>
      <c r="J359" s="1"/>
      <c r="K359" s="21">
        <f t="shared" si="287"/>
        <v>26926.424870466322</v>
      </c>
      <c r="L359" s="21">
        <f t="shared" si="288"/>
        <v>896.37305699481863</v>
      </c>
      <c r="M359" s="31">
        <f t="shared" si="291"/>
        <v>-2.4886877828054297E-2</v>
      </c>
      <c r="N359" s="31">
        <f t="shared" si="292"/>
        <v>5.0691244239631339E-2</v>
      </c>
      <c r="O359" s="43">
        <f t="shared" si="293"/>
        <v>22.797927461139896</v>
      </c>
      <c r="P359" s="49">
        <f t="shared" si="294"/>
        <v>2.5433526011560695E-2</v>
      </c>
      <c r="Q359" s="47">
        <f t="shared" si="295"/>
        <v>446.63212435233163</v>
      </c>
      <c r="R359" s="66">
        <f t="shared" si="296"/>
        <v>60.287703016241302</v>
      </c>
      <c r="S359" s="92">
        <f t="shared" si="289"/>
        <v>15.544041450777202</v>
      </c>
      <c r="T359" s="93">
        <f t="shared" si="297"/>
        <v>6.2176165803108807</v>
      </c>
      <c r="V359" s="98" t="str">
        <f t="shared" si="298"/>
        <v>NS</v>
      </c>
      <c r="W359" s="100">
        <f t="shared" si="299"/>
        <v>13.603042465398211</v>
      </c>
      <c r="X359" s="103">
        <f t="shared" si="300"/>
        <v>6.684605840307725E-3</v>
      </c>
    </row>
    <row r="360" spans="2:24" x14ac:dyDescent="0.3">
      <c r="B360" s="5" t="s">
        <v>7</v>
      </c>
      <c r="C360" s="1">
        <v>118</v>
      </c>
      <c r="D360" s="14">
        <v>0.77200000000000002</v>
      </c>
      <c r="E360" s="1">
        <v>107</v>
      </c>
      <c r="F360" s="1">
        <v>0</v>
      </c>
      <c r="G360" s="1">
        <v>12014</v>
      </c>
      <c r="H360" s="1">
        <f t="shared" si="290"/>
        <v>11</v>
      </c>
      <c r="I360" s="1"/>
      <c r="J360" s="1"/>
      <c r="K360" s="21">
        <f t="shared" si="287"/>
        <v>15562.176165803108</v>
      </c>
      <c r="L360" s="21">
        <f t="shared" si="288"/>
        <v>152.84974093264248</v>
      </c>
      <c r="M360" s="31">
        <f t="shared" si="291"/>
        <v>0</v>
      </c>
      <c r="N360" s="31">
        <f t="shared" si="292"/>
        <v>0</v>
      </c>
      <c r="O360" s="43">
        <f t="shared" si="293"/>
        <v>0</v>
      </c>
      <c r="P360" s="49">
        <f t="shared" si="294"/>
        <v>0</v>
      </c>
      <c r="Q360" s="47">
        <f t="shared" si="295"/>
        <v>14.248704663212434</v>
      </c>
      <c r="R360" s="66">
        <f t="shared" si="296"/>
        <v>1092.1818181818182</v>
      </c>
      <c r="S360" s="92">
        <f t="shared" si="289"/>
        <v>0</v>
      </c>
      <c r="T360" s="93">
        <f t="shared" si="297"/>
        <v>0</v>
      </c>
      <c r="V360" s="98" t="str">
        <f t="shared" si="298"/>
        <v>NB</v>
      </c>
      <c r="W360" s="100">
        <f t="shared" si="299"/>
        <v>400.84916522740355</v>
      </c>
      <c r="X360" s="103">
        <f t="shared" si="300"/>
        <v>1.9722414583984971E-3</v>
      </c>
    </row>
    <row r="361" spans="2:24" x14ac:dyDescent="0.3">
      <c r="B361" s="5" t="s">
        <v>18</v>
      </c>
      <c r="C361" s="9">
        <v>26</v>
      </c>
      <c r="D361" s="15">
        <v>0.154</v>
      </c>
      <c r="E361" s="9">
        <v>24</v>
      </c>
      <c r="F361" s="9">
        <v>0</v>
      </c>
      <c r="G361" s="9">
        <v>2588</v>
      </c>
      <c r="H361" s="1">
        <f t="shared" si="290"/>
        <v>2</v>
      </c>
      <c r="I361" s="9"/>
      <c r="J361" s="9"/>
      <c r="K361" s="22">
        <f t="shared" si="287"/>
        <v>16805.194805194806</v>
      </c>
      <c r="L361" s="22">
        <f t="shared" si="288"/>
        <v>168.83116883116884</v>
      </c>
      <c r="M361" s="31">
        <f t="shared" si="291"/>
        <v>0</v>
      </c>
      <c r="N361" s="31">
        <f t="shared" si="292"/>
        <v>0</v>
      </c>
      <c r="O361" s="44">
        <f t="shared" si="293"/>
        <v>0</v>
      </c>
      <c r="P361" s="49">
        <f t="shared" si="294"/>
        <v>0</v>
      </c>
      <c r="Q361" s="47">
        <f t="shared" si="295"/>
        <v>12.987012987012987</v>
      </c>
      <c r="R361" s="66">
        <f t="shared" si="296"/>
        <v>1294</v>
      </c>
      <c r="S361" s="92">
        <f t="shared" si="289"/>
        <v>0</v>
      </c>
      <c r="T361" s="93">
        <f t="shared" si="297"/>
        <v>0</v>
      </c>
      <c r="V361" s="98" t="str">
        <f t="shared" si="298"/>
        <v>PEI</v>
      </c>
      <c r="W361" s="100">
        <f t="shared" si="299"/>
        <v>400.93795093795092</v>
      </c>
      <c r="X361" s="103">
        <f t="shared" si="300"/>
        <v>2.0173199346108115E-3</v>
      </c>
    </row>
    <row r="362" spans="2:24" ht="15" thickBot="1" x14ac:dyDescent="0.35">
      <c r="B362" s="5" t="s">
        <v>11</v>
      </c>
      <c r="C362" s="9">
        <v>257</v>
      </c>
      <c r="D362" s="15">
        <v>0.52400000000000002</v>
      </c>
      <c r="E362" s="9">
        <v>208</v>
      </c>
      <c r="F362" s="9">
        <v>3</v>
      </c>
      <c r="G362" s="9">
        <v>7332</v>
      </c>
      <c r="H362" s="9">
        <f t="shared" si="290"/>
        <v>46</v>
      </c>
      <c r="I362" s="9"/>
      <c r="J362" s="9"/>
      <c r="K362" s="22">
        <f t="shared" si="287"/>
        <v>13992.36641221374</v>
      </c>
      <c r="L362" s="22">
        <f t="shared" si="288"/>
        <v>490.45801526717554</v>
      </c>
      <c r="M362" s="31">
        <f t="shared" si="291"/>
        <v>0</v>
      </c>
      <c r="N362" s="32">
        <f t="shared" si="292"/>
        <v>1.4218009478672985E-2</v>
      </c>
      <c r="O362" s="44">
        <f t="shared" si="293"/>
        <v>5.7251908396946565</v>
      </c>
      <c r="P362" s="50">
        <f t="shared" si="294"/>
        <v>1.1673151750972763E-2</v>
      </c>
      <c r="Q362" s="48">
        <f t="shared" si="295"/>
        <v>87.786259541984734</v>
      </c>
      <c r="R362" s="67">
        <f t="shared" si="296"/>
        <v>159.39130434782609</v>
      </c>
      <c r="S362" s="92">
        <f t="shared" si="289"/>
        <v>1.9083969465648853</v>
      </c>
      <c r="T362" s="93">
        <f t="shared" si="297"/>
        <v>0</v>
      </c>
      <c r="V362" s="99" t="str">
        <f t="shared" si="298"/>
        <v>NFLD</v>
      </c>
      <c r="W362" s="107">
        <f t="shared" si="299"/>
        <v>77.540322307039872</v>
      </c>
      <c r="X362" s="103">
        <f t="shared" si="300"/>
        <v>7.0384393261813567E-3</v>
      </c>
    </row>
    <row r="363" spans="2:24" ht="15" thickBot="1" x14ac:dyDescent="0.35">
      <c r="B363" s="11" t="s">
        <v>10</v>
      </c>
      <c r="C363" s="12">
        <v>45345</v>
      </c>
      <c r="D363" s="16">
        <v>37.6</v>
      </c>
      <c r="E363" s="12">
        <v>16425</v>
      </c>
      <c r="F363" s="12">
        <v>2465</v>
      </c>
      <c r="G363" s="12">
        <f>SUM(G353:G362)</f>
        <v>704711</v>
      </c>
      <c r="H363" s="81">
        <f t="shared" si="290"/>
        <v>26455</v>
      </c>
      <c r="I363" s="111"/>
      <c r="J363" s="111"/>
      <c r="K363" s="77">
        <f t="shared" si="287"/>
        <v>18742.313829787232</v>
      </c>
      <c r="L363" s="23">
        <f t="shared" si="288"/>
        <v>1205.9840425531916</v>
      </c>
      <c r="M363" s="31">
        <f t="shared" si="291"/>
        <v>1.5741985025916682E-2</v>
      </c>
      <c r="N363" s="33">
        <f t="shared" si="292"/>
        <v>0.13049232398094229</v>
      </c>
      <c r="O363" s="45">
        <f>F363/D363</f>
        <v>65.558510638297875</v>
      </c>
      <c r="P363" s="53">
        <f t="shared" si="294"/>
        <v>5.436101003418238E-2</v>
      </c>
      <c r="Q363" s="55">
        <f t="shared" si="295"/>
        <v>703.59042553191489</v>
      </c>
      <c r="R363" s="74">
        <f t="shared" si="296"/>
        <v>26.63810243810244</v>
      </c>
      <c r="S363" s="92">
        <f t="shared" si="289"/>
        <v>38.75</v>
      </c>
      <c r="T363" s="93">
        <f t="shared" si="297"/>
        <v>4.3351063829787231</v>
      </c>
      <c r="V363" s="108" t="str">
        <f t="shared" si="298"/>
        <v>Canada</v>
      </c>
      <c r="W363" s="109">
        <f t="shared" si="299"/>
        <v>8.1028975766320244</v>
      </c>
      <c r="X363" s="103">
        <f t="shared" si="300"/>
        <v>1.2920641001531766E-2</v>
      </c>
    </row>
    <row r="364" spans="2:24" ht="15" thickBot="1" x14ac:dyDescent="0.35">
      <c r="B364" s="6" t="s">
        <v>9</v>
      </c>
      <c r="C364" s="7">
        <v>932242</v>
      </c>
      <c r="D364" s="7">
        <v>327</v>
      </c>
      <c r="E364" s="7">
        <v>108162</v>
      </c>
      <c r="F364" s="7">
        <v>54256</v>
      </c>
      <c r="G364" s="7">
        <v>5184635</v>
      </c>
      <c r="H364" s="82">
        <f t="shared" si="290"/>
        <v>769824</v>
      </c>
      <c r="I364" s="112"/>
      <c r="J364" s="112"/>
      <c r="K364" s="78">
        <f t="shared" si="287"/>
        <v>15855.152905198776</v>
      </c>
      <c r="L364" s="24">
        <f t="shared" si="288"/>
        <v>2850.8929663608565</v>
      </c>
      <c r="M364" s="31">
        <f t="shared" si="291"/>
        <v>2.7337426718748125E-2</v>
      </c>
      <c r="N364" s="33">
        <f t="shared" si="292"/>
        <v>0.33405164452215885</v>
      </c>
      <c r="O364" s="46">
        <f>F364/D364</f>
        <v>165.92048929663608</v>
      </c>
      <c r="P364" s="52">
        <f t="shared" si="294"/>
        <v>5.8199480392430294E-2</v>
      </c>
      <c r="Q364" s="54">
        <f t="shared" si="295"/>
        <v>2354.2018348623851</v>
      </c>
      <c r="R364" s="72">
        <f t="shared" si="296"/>
        <v>6.7348315978717217</v>
      </c>
      <c r="S364" s="92">
        <f t="shared" si="289"/>
        <v>126.68501529051987</v>
      </c>
      <c r="T364" s="93">
        <f t="shared" si="297"/>
        <v>9.5321100917431192</v>
      </c>
      <c r="V364" s="108" t="str">
        <f t="shared" si="298"/>
        <v>USA</v>
      </c>
      <c r="W364" s="109">
        <f t="shared" si="299"/>
        <v>16.356080941406987</v>
      </c>
      <c r="X364" s="103">
        <f t="shared" si="300"/>
        <v>3.610573430920995E-2</v>
      </c>
    </row>
    <row r="365" spans="2:24" ht="15" thickBot="1" x14ac:dyDescent="0.35"/>
    <row r="366" spans="2:24" ht="28.8" x14ac:dyDescent="0.3">
      <c r="B366" s="17">
        <v>46478</v>
      </c>
      <c r="C366" s="18" t="s">
        <v>8</v>
      </c>
      <c r="D366" s="19" t="s">
        <v>17</v>
      </c>
      <c r="E366" s="19" t="s">
        <v>15</v>
      </c>
      <c r="F366" s="19" t="s">
        <v>16</v>
      </c>
      <c r="G366" s="19" t="s">
        <v>14</v>
      </c>
      <c r="H366" s="19" t="s">
        <v>38</v>
      </c>
      <c r="I366" s="19"/>
      <c r="J366" s="19"/>
      <c r="K366" s="19" t="s">
        <v>21</v>
      </c>
      <c r="L366" s="19" t="s">
        <v>20</v>
      </c>
      <c r="M366" s="19" t="s">
        <v>40</v>
      </c>
      <c r="N366" s="19" t="s">
        <v>32</v>
      </c>
      <c r="O366" s="19" t="s">
        <v>22</v>
      </c>
      <c r="P366" s="51" t="s">
        <v>34</v>
      </c>
      <c r="Q366" s="20" t="s">
        <v>35</v>
      </c>
      <c r="R366" s="63" t="s">
        <v>39</v>
      </c>
      <c r="S366" s="91" t="s">
        <v>43</v>
      </c>
      <c r="T366" s="91" t="s">
        <v>44</v>
      </c>
    </row>
    <row r="367" spans="2:24" x14ac:dyDescent="0.3">
      <c r="B367" s="3" t="s">
        <v>0</v>
      </c>
      <c r="C367" s="1">
        <v>14856</v>
      </c>
      <c r="D367" s="14">
        <v>14.45</v>
      </c>
      <c r="E367" s="1">
        <v>8525</v>
      </c>
      <c r="F367" s="1">
        <v>892</v>
      </c>
      <c r="G367" s="1">
        <v>242188</v>
      </c>
      <c r="H367" s="1">
        <f>C367-E367-F367</f>
        <v>5439</v>
      </c>
      <c r="I367" s="1"/>
      <c r="J367" s="1"/>
      <c r="K367" s="21">
        <f t="shared" ref="K367:K378" si="301">G367/D367</f>
        <v>16760.415224913497</v>
      </c>
      <c r="L367" s="21">
        <f t="shared" ref="L367:L378" si="302">C367/D367</f>
        <v>1028.0968858131489</v>
      </c>
      <c r="M367" s="31">
        <f>(H367-H353)/H353</f>
        <v>-4.1585903083700443E-2</v>
      </c>
      <c r="N367" s="31">
        <f>F367/(E367+F367)</f>
        <v>9.472231071466497E-2</v>
      </c>
      <c r="O367" s="43">
        <f>F367/D367</f>
        <v>61.730103806228378</v>
      </c>
      <c r="P367" s="49">
        <f>F367/C367</f>
        <v>6.0043080236941306E-2</v>
      </c>
      <c r="Q367" s="47">
        <f>(C367-E367-F367)/D367</f>
        <v>376.401384083045</v>
      </c>
      <c r="R367" s="66">
        <f>G367/H367</f>
        <v>44.528038242323959</v>
      </c>
      <c r="S367" s="92">
        <f>(C367-C353)/D367/2</f>
        <v>29.792387543252598</v>
      </c>
      <c r="T367" s="93">
        <f>(F367-F353)/D367/2</f>
        <v>2.8027681660899657</v>
      </c>
    </row>
    <row r="368" spans="2:24" x14ac:dyDescent="0.3">
      <c r="B368" s="5" t="s">
        <v>1</v>
      </c>
      <c r="C368" s="1">
        <v>24982</v>
      </c>
      <c r="D368" s="14">
        <v>8.43</v>
      </c>
      <c r="E368" s="1">
        <v>5517</v>
      </c>
      <c r="F368" s="1">
        <v>1599</v>
      </c>
      <c r="G368" s="1">
        <v>203002</v>
      </c>
      <c r="H368" s="1">
        <f t="shared" ref="H368:H378" si="303">C368-E368-F368</f>
        <v>17866</v>
      </c>
      <c r="I368" s="1"/>
      <c r="J368" s="1"/>
      <c r="K368" s="21">
        <f t="shared" si="301"/>
        <v>24080.901542111507</v>
      </c>
      <c r="L368" s="21">
        <f t="shared" si="302"/>
        <v>2963.463819691578</v>
      </c>
      <c r="M368" s="31">
        <f t="shared" ref="M368:M378" si="304">(H368-H354)/H354</f>
        <v>6.5736101169172029E-2</v>
      </c>
      <c r="N368" s="31">
        <f t="shared" ref="N368:N378" si="305">F368/(E368+F368)</f>
        <v>0.22470489038785835</v>
      </c>
      <c r="O368" s="43">
        <f t="shared" ref="O368:O376" si="306">F368/D368</f>
        <v>189.6797153024911</v>
      </c>
      <c r="P368" s="49">
        <f t="shared" ref="P368:P378" si="307">F368/C368</f>
        <v>6.4006084380754141E-2</v>
      </c>
      <c r="Q368" s="47">
        <f t="shared" ref="Q368:Q378" si="308">(C368-E368-F368)/D368</f>
        <v>2119.3357058125744</v>
      </c>
      <c r="R368" s="66">
        <f t="shared" ref="R368:R378" si="309">G368/H368</f>
        <v>11.362476211798947</v>
      </c>
      <c r="S368" s="92">
        <f t="shared" ref="S368:S378" si="310">(C368-C354)/D368/2</f>
        <v>101.72004744958483</v>
      </c>
      <c r="T368" s="93">
        <f t="shared" ref="T368:T378" si="311">(F368-F354)/D368/2</f>
        <v>9.07473309608541</v>
      </c>
    </row>
    <row r="369" spans="2:24" x14ac:dyDescent="0.3">
      <c r="B369" s="5" t="s">
        <v>2</v>
      </c>
      <c r="C369" s="1">
        <v>1998</v>
      </c>
      <c r="D369" s="14">
        <v>5.0199999999999996</v>
      </c>
      <c r="E369" s="1">
        <v>1190</v>
      </c>
      <c r="F369" s="1">
        <v>103</v>
      </c>
      <c r="G369" s="1">
        <v>78665</v>
      </c>
      <c r="H369" s="1">
        <f t="shared" si="303"/>
        <v>705</v>
      </c>
      <c r="I369" s="1"/>
      <c r="J369" s="1"/>
      <c r="K369" s="21">
        <f t="shared" si="301"/>
        <v>15670.318725099603</v>
      </c>
      <c r="L369" s="21">
        <f t="shared" si="302"/>
        <v>398.00796812749007</v>
      </c>
      <c r="M369" s="31">
        <f t="shared" si="304"/>
        <v>-8.4388185654008432E-3</v>
      </c>
      <c r="N369" s="31">
        <f t="shared" si="305"/>
        <v>7.965970610982212E-2</v>
      </c>
      <c r="O369" s="43">
        <f t="shared" si="306"/>
        <v>20.517928286852591</v>
      </c>
      <c r="P369" s="49">
        <f t="shared" si="307"/>
        <v>5.1551551551551549E-2</v>
      </c>
      <c r="Q369" s="47">
        <f t="shared" si="308"/>
        <v>140.4382470119522</v>
      </c>
      <c r="R369" s="66">
        <f t="shared" si="309"/>
        <v>111.58156028368795</v>
      </c>
      <c r="S369" s="92">
        <f t="shared" si="310"/>
        <v>4.9800796812749004</v>
      </c>
      <c r="T369" s="93">
        <f t="shared" si="311"/>
        <v>0.29880478087649404</v>
      </c>
    </row>
    <row r="370" spans="2:24" x14ac:dyDescent="0.3">
      <c r="B370" s="5" t="s">
        <v>3</v>
      </c>
      <c r="C370" s="1">
        <v>4696</v>
      </c>
      <c r="D370" s="14">
        <v>4.34</v>
      </c>
      <c r="E370" s="1">
        <v>1664</v>
      </c>
      <c r="F370" s="1">
        <v>75</v>
      </c>
      <c r="G370" s="1">
        <v>135442</v>
      </c>
      <c r="H370" s="1">
        <f t="shared" si="303"/>
        <v>2957</v>
      </c>
      <c r="I370" s="1"/>
      <c r="J370" s="1"/>
      <c r="K370" s="21">
        <f t="shared" si="301"/>
        <v>31207.83410138249</v>
      </c>
      <c r="L370" s="21">
        <f t="shared" si="302"/>
        <v>1082.0276497695852</v>
      </c>
      <c r="M370" s="31">
        <f t="shared" si="304"/>
        <v>0.10377006345651363</v>
      </c>
      <c r="N370" s="31">
        <f t="shared" si="305"/>
        <v>4.3128234617596323E-2</v>
      </c>
      <c r="O370" s="43">
        <f t="shared" si="306"/>
        <v>17.281105990783409</v>
      </c>
      <c r="P370" s="49">
        <f t="shared" si="307"/>
        <v>1.5971039182282792E-2</v>
      </c>
      <c r="Q370" s="47">
        <f t="shared" si="308"/>
        <v>681.33640552995394</v>
      </c>
      <c r="R370" s="66">
        <f t="shared" si="309"/>
        <v>45.803855258708147</v>
      </c>
      <c r="S370" s="92">
        <f t="shared" si="310"/>
        <v>54.493087557603687</v>
      </c>
      <c r="T370" s="93">
        <f t="shared" si="311"/>
        <v>0.2304147465437788</v>
      </c>
    </row>
    <row r="371" spans="2:24" x14ac:dyDescent="0.3">
      <c r="B371" s="5" t="s">
        <v>4</v>
      </c>
      <c r="C371" s="1">
        <v>272</v>
      </c>
      <c r="D371" s="14">
        <v>1.36</v>
      </c>
      <c r="E371" s="1">
        <v>205</v>
      </c>
      <c r="F371" s="1">
        <v>6</v>
      </c>
      <c r="G371" s="1">
        <v>23543</v>
      </c>
      <c r="H371" s="1">
        <f t="shared" si="303"/>
        <v>61</v>
      </c>
      <c r="I371" s="1"/>
      <c r="J371" s="1"/>
      <c r="K371" s="21">
        <f t="shared" si="301"/>
        <v>17311.029411764706</v>
      </c>
      <c r="L371" s="21">
        <f t="shared" si="302"/>
        <v>199.99999999999997</v>
      </c>
      <c r="M371" s="31">
        <f t="shared" si="304"/>
        <v>-1.6129032258064516E-2</v>
      </c>
      <c r="N371" s="31">
        <f t="shared" si="305"/>
        <v>2.843601895734597E-2</v>
      </c>
      <c r="O371" s="43">
        <f t="shared" si="306"/>
        <v>4.4117647058823524</v>
      </c>
      <c r="P371" s="49">
        <f t="shared" si="307"/>
        <v>2.2058823529411766E-2</v>
      </c>
      <c r="Q371" s="47">
        <f t="shared" si="308"/>
        <v>44.852941176470587</v>
      </c>
      <c r="R371" s="66">
        <f t="shared" si="309"/>
        <v>385.95081967213116</v>
      </c>
      <c r="S371" s="92">
        <f t="shared" si="310"/>
        <v>1.838235294117647</v>
      </c>
      <c r="T371" s="93">
        <f t="shared" si="311"/>
        <v>0</v>
      </c>
    </row>
    <row r="372" spans="2:24" x14ac:dyDescent="0.3">
      <c r="B372" s="5" t="s">
        <v>5</v>
      </c>
      <c r="C372" s="1">
        <v>365</v>
      </c>
      <c r="D372" s="14">
        <v>1.17</v>
      </c>
      <c r="E372" s="1">
        <v>288</v>
      </c>
      <c r="F372" s="1">
        <v>5</v>
      </c>
      <c r="G372" s="1">
        <v>28296</v>
      </c>
      <c r="H372" s="1">
        <f t="shared" si="303"/>
        <v>72</v>
      </c>
      <c r="I372" s="1"/>
      <c r="J372" s="1"/>
      <c r="K372" s="21">
        <f t="shared" si="301"/>
        <v>24184.615384615387</v>
      </c>
      <c r="L372" s="21">
        <f t="shared" si="302"/>
        <v>311.96581196581201</v>
      </c>
      <c r="M372" s="31">
        <f t="shared" si="304"/>
        <v>0.26315789473684209</v>
      </c>
      <c r="N372" s="31">
        <f t="shared" si="305"/>
        <v>1.7064846416382253E-2</v>
      </c>
      <c r="O372" s="43">
        <f t="shared" si="306"/>
        <v>4.2735042735042734</v>
      </c>
      <c r="P372" s="49">
        <f t="shared" si="307"/>
        <v>1.3698630136986301E-2</v>
      </c>
      <c r="Q372" s="47">
        <f t="shared" si="308"/>
        <v>61.53846153846154</v>
      </c>
      <c r="R372" s="66">
        <f t="shared" si="309"/>
        <v>393</v>
      </c>
      <c r="S372" s="92">
        <f t="shared" si="310"/>
        <v>6.8376068376068382</v>
      </c>
      <c r="T372" s="93">
        <f t="shared" si="311"/>
        <v>0.42735042735042739</v>
      </c>
    </row>
    <row r="373" spans="2:24" x14ac:dyDescent="0.3">
      <c r="B373" s="5" t="s">
        <v>6</v>
      </c>
      <c r="C373" s="1">
        <v>900</v>
      </c>
      <c r="D373" s="14">
        <v>0.96499999999999997</v>
      </c>
      <c r="E373" s="1">
        <v>509</v>
      </c>
      <c r="F373" s="1">
        <v>24</v>
      </c>
      <c r="G373" s="1">
        <f>26231+C373</f>
        <v>27131</v>
      </c>
      <c r="H373" s="1">
        <f t="shared" si="303"/>
        <v>367</v>
      </c>
      <c r="I373" s="1"/>
      <c r="J373" s="1"/>
      <c r="K373" s="21">
        <f t="shared" si="301"/>
        <v>28115.025906735751</v>
      </c>
      <c r="L373" s="21">
        <f t="shared" si="302"/>
        <v>932.64248704663214</v>
      </c>
      <c r="M373" s="31">
        <f t="shared" si="304"/>
        <v>-0.14849187935034802</v>
      </c>
      <c r="N373" s="31">
        <f t="shared" si="305"/>
        <v>4.5028142589118199E-2</v>
      </c>
      <c r="O373" s="43">
        <f t="shared" si="306"/>
        <v>24.870466321243523</v>
      </c>
      <c r="P373" s="49">
        <f t="shared" si="307"/>
        <v>2.6666666666666668E-2</v>
      </c>
      <c r="Q373" s="47">
        <f t="shared" si="308"/>
        <v>380.31088082901556</v>
      </c>
      <c r="R373" s="66">
        <f t="shared" si="309"/>
        <v>73.926430517711168</v>
      </c>
      <c r="S373" s="92">
        <f t="shared" si="310"/>
        <v>18.134715025906736</v>
      </c>
      <c r="T373" s="93">
        <f t="shared" si="311"/>
        <v>1.0362694300518136</v>
      </c>
    </row>
    <row r="374" spans="2:24" x14ac:dyDescent="0.3">
      <c r="B374" s="5" t="s">
        <v>7</v>
      </c>
      <c r="C374" s="1">
        <v>118</v>
      </c>
      <c r="D374" s="14">
        <v>0.77200000000000002</v>
      </c>
      <c r="E374" s="1">
        <v>112</v>
      </c>
      <c r="F374" s="1">
        <v>0</v>
      </c>
      <c r="G374" s="1">
        <v>13196</v>
      </c>
      <c r="H374" s="1">
        <f t="shared" si="303"/>
        <v>6</v>
      </c>
      <c r="I374" s="1"/>
      <c r="J374" s="1"/>
      <c r="K374" s="21">
        <f t="shared" si="301"/>
        <v>17093.264248704661</v>
      </c>
      <c r="L374" s="21">
        <f t="shared" si="302"/>
        <v>152.84974093264248</v>
      </c>
      <c r="M374" s="31">
        <f t="shared" si="304"/>
        <v>-0.45454545454545453</v>
      </c>
      <c r="N374" s="31">
        <f t="shared" si="305"/>
        <v>0</v>
      </c>
      <c r="O374" s="43">
        <f t="shared" si="306"/>
        <v>0</v>
      </c>
      <c r="P374" s="49">
        <f t="shared" si="307"/>
        <v>0</v>
      </c>
      <c r="Q374" s="47">
        <f t="shared" si="308"/>
        <v>7.7720207253886011</v>
      </c>
      <c r="R374" s="66">
        <f t="shared" si="309"/>
        <v>2199.3333333333335</v>
      </c>
      <c r="S374" s="92">
        <f t="shared" si="310"/>
        <v>0</v>
      </c>
      <c r="T374" s="93">
        <f t="shared" si="311"/>
        <v>0</v>
      </c>
    </row>
    <row r="375" spans="2:24" x14ac:dyDescent="0.3">
      <c r="B375" s="5" t="s">
        <v>18</v>
      </c>
      <c r="C375" s="9">
        <v>26</v>
      </c>
      <c r="D375" s="15">
        <v>0.154</v>
      </c>
      <c r="E375" s="9">
        <v>24</v>
      </c>
      <c r="F375" s="9">
        <v>0</v>
      </c>
      <c r="G375" s="9">
        <v>2794</v>
      </c>
      <c r="H375" s="1">
        <f t="shared" si="303"/>
        <v>2</v>
      </c>
      <c r="I375" s="9"/>
      <c r="J375" s="9"/>
      <c r="K375" s="22">
        <f t="shared" si="301"/>
        <v>18142.857142857141</v>
      </c>
      <c r="L375" s="22">
        <f t="shared" si="302"/>
        <v>168.83116883116884</v>
      </c>
      <c r="M375" s="31">
        <f t="shared" si="304"/>
        <v>0</v>
      </c>
      <c r="N375" s="31">
        <f t="shared" si="305"/>
        <v>0</v>
      </c>
      <c r="O375" s="44">
        <f t="shared" si="306"/>
        <v>0</v>
      </c>
      <c r="P375" s="49">
        <f t="shared" si="307"/>
        <v>0</v>
      </c>
      <c r="Q375" s="47">
        <f t="shared" si="308"/>
        <v>12.987012987012987</v>
      </c>
      <c r="R375" s="66">
        <f t="shared" si="309"/>
        <v>1397</v>
      </c>
      <c r="S375" s="92">
        <f t="shared" si="310"/>
        <v>0</v>
      </c>
      <c r="T375" s="93">
        <f t="shared" si="311"/>
        <v>0</v>
      </c>
    </row>
    <row r="376" spans="2:24" ht="15" thickBot="1" x14ac:dyDescent="0.35">
      <c r="B376" s="5" t="s">
        <v>11</v>
      </c>
      <c r="C376" s="9">
        <v>257</v>
      </c>
      <c r="D376" s="15">
        <v>0.52400000000000002</v>
      </c>
      <c r="E376" s="9">
        <v>221</v>
      </c>
      <c r="F376" s="9">
        <v>3</v>
      </c>
      <c r="G376" s="9">
        <v>7622</v>
      </c>
      <c r="H376" s="9">
        <f t="shared" si="303"/>
        <v>33</v>
      </c>
      <c r="I376" s="9"/>
      <c r="J376" s="9"/>
      <c r="K376" s="22">
        <f t="shared" si="301"/>
        <v>14545.801526717556</v>
      </c>
      <c r="L376" s="22">
        <f t="shared" si="302"/>
        <v>490.45801526717554</v>
      </c>
      <c r="M376" s="31">
        <f t="shared" si="304"/>
        <v>-0.28260869565217389</v>
      </c>
      <c r="N376" s="32">
        <f t="shared" si="305"/>
        <v>1.3392857142857142E-2</v>
      </c>
      <c r="O376" s="44">
        <f t="shared" si="306"/>
        <v>5.7251908396946565</v>
      </c>
      <c r="P376" s="50">
        <f t="shared" si="307"/>
        <v>1.1673151750972763E-2</v>
      </c>
      <c r="Q376" s="48">
        <f t="shared" si="308"/>
        <v>62.977099236641216</v>
      </c>
      <c r="R376" s="67">
        <f t="shared" si="309"/>
        <v>230.96969696969697</v>
      </c>
      <c r="S376" s="92">
        <f t="shared" si="310"/>
        <v>0</v>
      </c>
      <c r="T376" s="93">
        <f t="shared" si="311"/>
        <v>0</v>
      </c>
    </row>
    <row r="377" spans="2:24" ht="15" thickBot="1" x14ac:dyDescent="0.35">
      <c r="B377" s="11" t="s">
        <v>10</v>
      </c>
      <c r="C377" s="12">
        <v>48500</v>
      </c>
      <c r="D377" s="16">
        <v>37.6</v>
      </c>
      <c r="E377" s="12">
        <v>18268</v>
      </c>
      <c r="F377" s="12">
        <v>2707</v>
      </c>
      <c r="G377" s="12">
        <f>SUM(G367:G376)</f>
        <v>761879</v>
      </c>
      <c r="H377" s="81">
        <f t="shared" si="303"/>
        <v>27525</v>
      </c>
      <c r="I377" s="111"/>
      <c r="J377" s="111"/>
      <c r="K377" s="77">
        <f t="shared" si="301"/>
        <v>20262.739361702126</v>
      </c>
      <c r="L377" s="23">
        <f t="shared" si="302"/>
        <v>1289.8936170212764</v>
      </c>
      <c r="M377" s="31">
        <f t="shared" si="304"/>
        <v>4.0446040446040443E-2</v>
      </c>
      <c r="N377" s="33">
        <f t="shared" si="305"/>
        <v>0.12905840286054826</v>
      </c>
      <c r="O377" s="45">
        <f>F377/D377</f>
        <v>71.994680851063833</v>
      </c>
      <c r="P377" s="53">
        <f t="shared" si="307"/>
        <v>5.5814432989690722E-2</v>
      </c>
      <c r="Q377" s="55">
        <f t="shared" si="308"/>
        <v>732.04787234042556</v>
      </c>
      <c r="R377" s="74">
        <f t="shared" si="309"/>
        <v>27.679527702089011</v>
      </c>
      <c r="S377" s="92">
        <f t="shared" si="310"/>
        <v>41.954787234042549</v>
      </c>
      <c r="T377" s="93">
        <f t="shared" si="311"/>
        <v>3.2180851063829787</v>
      </c>
    </row>
    <row r="378" spans="2:24" ht="15" thickBot="1" x14ac:dyDescent="0.35">
      <c r="B378" s="6" t="s">
        <v>9</v>
      </c>
      <c r="C378" s="7">
        <v>981134</v>
      </c>
      <c r="D378" s="7">
        <v>327</v>
      </c>
      <c r="E378" s="7">
        <v>137465</v>
      </c>
      <c r="F378" s="7">
        <v>56323</v>
      </c>
      <c r="G378" s="7">
        <v>5593495</v>
      </c>
      <c r="H378" s="82">
        <f t="shared" si="303"/>
        <v>787346</v>
      </c>
      <c r="I378" s="112"/>
      <c r="J378" s="112"/>
      <c r="K378" s="78">
        <f t="shared" si="301"/>
        <v>17105.489296636086</v>
      </c>
      <c r="L378" s="24">
        <f t="shared" si="302"/>
        <v>3000.4097859327217</v>
      </c>
      <c r="M378" s="31">
        <f t="shared" si="304"/>
        <v>2.2761046680799767E-2</v>
      </c>
      <c r="N378" s="33">
        <f t="shared" si="305"/>
        <v>0.29064235143558942</v>
      </c>
      <c r="O378" s="46">
        <f>F378/D378</f>
        <v>172.24159021406729</v>
      </c>
      <c r="P378" s="52">
        <f t="shared" si="307"/>
        <v>5.7406022011264518E-2</v>
      </c>
      <c r="Q378" s="54">
        <f t="shared" si="308"/>
        <v>2407.7859327217125</v>
      </c>
      <c r="R378" s="72">
        <f t="shared" si="309"/>
        <v>7.1042400672639472</v>
      </c>
      <c r="S378" s="92">
        <f t="shared" si="310"/>
        <v>74.758409785932727</v>
      </c>
      <c r="T378" s="93">
        <f t="shared" si="311"/>
        <v>3.1605504587155964</v>
      </c>
    </row>
    <row r="379" spans="2:24" ht="15" thickBot="1" x14ac:dyDescent="0.35"/>
    <row r="380" spans="2:24" ht="29.4" thickBot="1" x14ac:dyDescent="0.35">
      <c r="B380" s="96">
        <v>46844</v>
      </c>
      <c r="C380" s="18" t="s">
        <v>8</v>
      </c>
      <c r="D380" s="19" t="s">
        <v>17</v>
      </c>
      <c r="E380" s="19" t="s">
        <v>15</v>
      </c>
      <c r="F380" s="19" t="s">
        <v>16</v>
      </c>
      <c r="G380" s="19" t="s">
        <v>14</v>
      </c>
      <c r="H380" s="19" t="s">
        <v>38</v>
      </c>
      <c r="I380" s="19"/>
      <c r="J380" s="19"/>
      <c r="K380" s="19" t="s">
        <v>21</v>
      </c>
      <c r="L380" s="19" t="s">
        <v>20</v>
      </c>
      <c r="M380" s="19" t="s">
        <v>40</v>
      </c>
      <c r="N380" s="19" t="s">
        <v>32</v>
      </c>
      <c r="O380" s="19" t="s">
        <v>22</v>
      </c>
      <c r="P380" s="51" t="s">
        <v>34</v>
      </c>
      <c r="Q380" s="20" t="s">
        <v>35</v>
      </c>
      <c r="R380" s="63" t="s">
        <v>39</v>
      </c>
      <c r="S380" s="91" t="s">
        <v>43</v>
      </c>
      <c r="T380" s="91" t="s">
        <v>44</v>
      </c>
      <c r="V380" s="104" t="s">
        <v>48</v>
      </c>
      <c r="W380" s="105" t="s">
        <v>49</v>
      </c>
      <c r="X380" s="106" t="s">
        <v>50</v>
      </c>
    </row>
    <row r="381" spans="2:24" x14ac:dyDescent="0.3">
      <c r="B381" s="3" t="s">
        <v>0</v>
      </c>
      <c r="C381" s="1">
        <v>15381</v>
      </c>
      <c r="D381" s="14">
        <v>14.45</v>
      </c>
      <c r="E381" s="1">
        <v>8964</v>
      </c>
      <c r="F381" s="1">
        <v>951</v>
      </c>
      <c r="G381" s="1">
        <v>253040</v>
      </c>
      <c r="H381" s="1">
        <f>C381-E381-F381</f>
        <v>5466</v>
      </c>
      <c r="I381" s="1"/>
      <c r="J381" s="1"/>
      <c r="K381" s="21">
        <f t="shared" ref="K381:K392" si="312">G381/D381</f>
        <v>17511.418685121109</v>
      </c>
      <c r="L381" s="21">
        <f t="shared" ref="L381:L392" si="313">C381/D381</f>
        <v>1064.4290657439446</v>
      </c>
      <c r="M381" s="31">
        <f>(H381-H367)/H367</f>
        <v>4.9641478212906782E-3</v>
      </c>
      <c r="N381" s="31">
        <f>F381/(E381+F381)</f>
        <v>9.5915279878971249E-2</v>
      </c>
      <c r="O381" s="43">
        <f>F381/D381</f>
        <v>65.813148788927336</v>
      </c>
      <c r="P381" s="49">
        <f>F381/C381</f>
        <v>6.1829529939535791E-2</v>
      </c>
      <c r="Q381" s="47">
        <f>(C381-E381-F381)/D381</f>
        <v>378.26989619377167</v>
      </c>
      <c r="R381" s="66">
        <f>G381/H381</f>
        <v>46.293450420783024</v>
      </c>
      <c r="S381" s="92">
        <f t="shared" ref="S381:S392" si="314">(C381-C367)/D381</f>
        <v>36.332179930795853</v>
      </c>
      <c r="T381" s="93">
        <f>(F381-F367)/D381</f>
        <v>4.0830449826989623</v>
      </c>
      <c r="U381" s="97"/>
      <c r="V381" s="101" t="str">
        <f>B381</f>
        <v>ON</v>
      </c>
      <c r="W381" s="102">
        <f>C381/D381/180+IFERROR((D381*C381*5)/(F381*F381),400)</f>
        <v>7.1422387518115995</v>
      </c>
      <c r="X381" s="103">
        <f>L381/75000/K381*K$391</f>
        <v>1.6803089730998713E-2</v>
      </c>
    </row>
    <row r="382" spans="2:24" x14ac:dyDescent="0.3">
      <c r="B382" s="5" t="s">
        <v>1</v>
      </c>
      <c r="C382" s="1">
        <v>25757</v>
      </c>
      <c r="D382" s="14">
        <v>8.43</v>
      </c>
      <c r="E382" s="1">
        <v>5841</v>
      </c>
      <c r="F382" s="1">
        <v>1682</v>
      </c>
      <c r="G382" s="1">
        <v>203002</v>
      </c>
      <c r="H382" s="1">
        <f t="shared" ref="H382:H392" si="315">C382-E382-F382</f>
        <v>18234</v>
      </c>
      <c r="I382" s="1"/>
      <c r="J382" s="1"/>
      <c r="K382" s="21">
        <f t="shared" si="312"/>
        <v>24080.901542111507</v>
      </c>
      <c r="L382" s="21">
        <f t="shared" si="313"/>
        <v>3055.3973902728353</v>
      </c>
      <c r="M382" s="31">
        <f t="shared" ref="M382:M392" si="316">(H382-H368)/H368</f>
        <v>2.0597783499384306E-2</v>
      </c>
      <c r="N382" s="31">
        <f t="shared" ref="N382:N392" si="317">F382/(E382+F382)</f>
        <v>0.22358101821082016</v>
      </c>
      <c r="O382" s="43">
        <f t="shared" ref="O382:O390" si="318">F382/D382</f>
        <v>199.52550415183867</v>
      </c>
      <c r="P382" s="49">
        <f t="shared" ref="P382:P392" si="319">F382/C382</f>
        <v>6.5302636176573364E-2</v>
      </c>
      <c r="Q382" s="47">
        <f t="shared" ref="Q382:Q392" si="320">(C382-E382-F382)/D382</f>
        <v>2162.9893238434165</v>
      </c>
      <c r="R382" s="66">
        <f t="shared" ref="R382:R392" si="321">G382/H382</f>
        <v>11.133157837007788</v>
      </c>
      <c r="S382" s="92">
        <f t="shared" si="314"/>
        <v>91.933570581257413</v>
      </c>
      <c r="T382" s="93">
        <f t="shared" ref="T382:T392" si="322">(F382-F368)/D382</f>
        <v>9.8457888493475689</v>
      </c>
      <c r="U382" s="97"/>
      <c r="V382" s="98" t="str">
        <f t="shared" ref="V382:V392" si="323">B382</f>
        <v>QC</v>
      </c>
      <c r="W382" s="100">
        <f t="shared" ref="W382:W392" si="324">C382/D382/180+IFERROR((D382*C382*5)/(F382*F382),400)</f>
        <v>17.358173306095701</v>
      </c>
      <c r="X382" s="103">
        <f t="shared" ref="X382:X392" si="325">L382/75000/K382*K$391</f>
        <v>3.5074275961785237E-2</v>
      </c>
    </row>
    <row r="383" spans="2:24" x14ac:dyDescent="0.3">
      <c r="B383" s="5" t="s">
        <v>2</v>
      </c>
      <c r="C383" s="1">
        <v>2053</v>
      </c>
      <c r="D383" s="14">
        <v>5.0199999999999996</v>
      </c>
      <c r="E383" s="1">
        <v>1231</v>
      </c>
      <c r="F383" s="1">
        <v>105</v>
      </c>
      <c r="G383" s="1">
        <v>80888</v>
      </c>
      <c r="H383" s="1">
        <f t="shared" si="315"/>
        <v>717</v>
      </c>
      <c r="I383" s="1"/>
      <c r="J383" s="1"/>
      <c r="K383" s="21">
        <f t="shared" si="312"/>
        <v>16113.147410358568</v>
      </c>
      <c r="L383" s="21">
        <f t="shared" si="313"/>
        <v>408.96414342629487</v>
      </c>
      <c r="M383" s="31">
        <f t="shared" si="316"/>
        <v>1.7021276595744681E-2</v>
      </c>
      <c r="N383" s="31">
        <f t="shared" si="317"/>
        <v>7.859281437125748E-2</v>
      </c>
      <c r="O383" s="43">
        <f t="shared" si="318"/>
        <v>20.916334661354583</v>
      </c>
      <c r="P383" s="49">
        <f t="shared" si="319"/>
        <v>5.1144666341938629E-2</v>
      </c>
      <c r="Q383" s="47">
        <f t="shared" si="320"/>
        <v>142.82868525896416</v>
      </c>
      <c r="R383" s="66">
        <f t="shared" si="321"/>
        <v>112.81450488145049</v>
      </c>
      <c r="S383" s="92">
        <f t="shared" si="314"/>
        <v>10.956175298804782</v>
      </c>
      <c r="T383" s="93">
        <f t="shared" si="322"/>
        <v>0.39840637450199207</v>
      </c>
      <c r="U383" s="97"/>
      <c r="V383" s="98" t="str">
        <f t="shared" si="323"/>
        <v>BC</v>
      </c>
      <c r="W383" s="100">
        <f t="shared" si="324"/>
        <v>6.9459731324136555</v>
      </c>
      <c r="X383" s="103">
        <f t="shared" si="325"/>
        <v>7.0161457993576275E-3</v>
      </c>
    </row>
    <row r="384" spans="2:24" x14ac:dyDescent="0.3">
      <c r="B384" s="5" t="s">
        <v>3</v>
      </c>
      <c r="C384" s="1">
        <v>4850</v>
      </c>
      <c r="D384" s="14">
        <v>4.34</v>
      </c>
      <c r="E384" s="1">
        <v>1800</v>
      </c>
      <c r="F384" s="1">
        <v>80</v>
      </c>
      <c r="G384" s="1">
        <v>138681</v>
      </c>
      <c r="H384" s="1">
        <f t="shared" si="315"/>
        <v>2970</v>
      </c>
      <c r="I384" s="1"/>
      <c r="J384" s="1"/>
      <c r="K384" s="21">
        <f t="shared" si="312"/>
        <v>31954.147465437789</v>
      </c>
      <c r="L384" s="21">
        <f t="shared" si="313"/>
        <v>1117.5115207373271</v>
      </c>
      <c r="M384" s="31">
        <f t="shared" si="316"/>
        <v>4.39634764964491E-3</v>
      </c>
      <c r="N384" s="31">
        <f t="shared" si="317"/>
        <v>4.2553191489361701E-2</v>
      </c>
      <c r="O384" s="43">
        <f t="shared" si="318"/>
        <v>18.433179723502306</v>
      </c>
      <c r="P384" s="49">
        <f t="shared" si="319"/>
        <v>1.6494845360824743E-2</v>
      </c>
      <c r="Q384" s="47">
        <f t="shared" si="320"/>
        <v>684.33179723502303</v>
      </c>
      <c r="R384" s="66">
        <f t="shared" si="321"/>
        <v>46.693939393939395</v>
      </c>
      <c r="S384" s="92">
        <f t="shared" si="314"/>
        <v>35.483870967741936</v>
      </c>
      <c r="T384" s="93">
        <f t="shared" si="322"/>
        <v>1.1520737327188941</v>
      </c>
      <c r="U384" s="97"/>
      <c r="V384" s="98" t="str">
        <f t="shared" si="323"/>
        <v>AL</v>
      </c>
      <c r="W384" s="100">
        <f t="shared" si="324"/>
        <v>22.652928587429596</v>
      </c>
      <c r="X384" s="103">
        <f t="shared" si="325"/>
        <v>9.667596756697764E-3</v>
      </c>
    </row>
    <row r="385" spans="2:24" x14ac:dyDescent="0.3">
      <c r="B385" s="5" t="s">
        <v>4</v>
      </c>
      <c r="C385" s="1">
        <v>272</v>
      </c>
      <c r="D385" s="14">
        <v>1.36</v>
      </c>
      <c r="E385" s="1">
        <v>205</v>
      </c>
      <c r="F385" s="1">
        <v>6</v>
      </c>
      <c r="G385" s="1">
        <v>23543</v>
      </c>
      <c r="H385" s="1">
        <f t="shared" si="315"/>
        <v>61</v>
      </c>
      <c r="I385" s="1"/>
      <c r="J385" s="1"/>
      <c r="K385" s="21">
        <f t="shared" si="312"/>
        <v>17311.029411764706</v>
      </c>
      <c r="L385" s="21">
        <f t="shared" si="313"/>
        <v>199.99999999999997</v>
      </c>
      <c r="M385" s="31">
        <f t="shared" si="316"/>
        <v>0</v>
      </c>
      <c r="N385" s="31">
        <f t="shared" si="317"/>
        <v>2.843601895734597E-2</v>
      </c>
      <c r="O385" s="43">
        <f t="shared" si="318"/>
        <v>4.4117647058823524</v>
      </c>
      <c r="P385" s="49">
        <f t="shared" si="319"/>
        <v>2.2058823529411766E-2</v>
      </c>
      <c r="Q385" s="47">
        <f t="shared" si="320"/>
        <v>44.852941176470587</v>
      </c>
      <c r="R385" s="66">
        <f t="shared" si="321"/>
        <v>385.95081967213116</v>
      </c>
      <c r="S385" s="92">
        <f t="shared" si="314"/>
        <v>0</v>
      </c>
      <c r="T385" s="93">
        <f t="shared" si="322"/>
        <v>0</v>
      </c>
      <c r="U385" s="97"/>
      <c r="V385" s="98" t="str">
        <f t="shared" si="323"/>
        <v>MA</v>
      </c>
      <c r="W385" s="100">
        <f t="shared" si="324"/>
        <v>52.488888888888894</v>
      </c>
      <c r="X385" s="103">
        <f t="shared" si="325"/>
        <v>3.1937495387194029E-3</v>
      </c>
    </row>
    <row r="386" spans="2:24" x14ac:dyDescent="0.3">
      <c r="B386" s="5" t="s">
        <v>5</v>
      </c>
      <c r="C386" s="1">
        <v>366</v>
      </c>
      <c r="D386" s="14">
        <v>1.17</v>
      </c>
      <c r="E386" s="1">
        <v>291</v>
      </c>
      <c r="F386" s="1">
        <v>5</v>
      </c>
      <c r="G386" s="1">
        <v>28632</v>
      </c>
      <c r="H386" s="1">
        <f t="shared" si="315"/>
        <v>70</v>
      </c>
      <c r="I386" s="1"/>
      <c r="J386" s="1"/>
      <c r="K386" s="21">
        <f t="shared" si="312"/>
        <v>24471.794871794875</v>
      </c>
      <c r="L386" s="21">
        <f t="shared" si="313"/>
        <v>312.82051282051282</v>
      </c>
      <c r="M386" s="31">
        <f t="shared" si="316"/>
        <v>-2.7777777777777776E-2</v>
      </c>
      <c r="N386" s="31">
        <f t="shared" si="317"/>
        <v>1.6891891891891893E-2</v>
      </c>
      <c r="O386" s="43">
        <f t="shared" si="318"/>
        <v>4.2735042735042734</v>
      </c>
      <c r="P386" s="49">
        <f t="shared" si="319"/>
        <v>1.3661202185792349E-2</v>
      </c>
      <c r="Q386" s="47">
        <f t="shared" si="320"/>
        <v>59.82905982905983</v>
      </c>
      <c r="R386" s="66">
        <f t="shared" si="321"/>
        <v>409.02857142857141</v>
      </c>
      <c r="S386" s="92">
        <f t="shared" si="314"/>
        <v>0.85470085470085477</v>
      </c>
      <c r="T386" s="93">
        <f t="shared" si="322"/>
        <v>0</v>
      </c>
      <c r="U386" s="97"/>
      <c r="V386" s="98" t="str">
        <f t="shared" si="323"/>
        <v>SA</v>
      </c>
      <c r="W386" s="100">
        <f t="shared" si="324"/>
        <v>87.381891737891735</v>
      </c>
      <c r="X386" s="103">
        <f t="shared" si="325"/>
        <v>3.5336469238406061E-3</v>
      </c>
    </row>
    <row r="387" spans="2:24" x14ac:dyDescent="0.3">
      <c r="B387" s="5" t="s">
        <v>6</v>
      </c>
      <c r="C387" s="1">
        <v>915</v>
      </c>
      <c r="D387" s="14">
        <v>0.96499999999999997</v>
      </c>
      <c r="E387" s="1">
        <v>522</v>
      </c>
      <c r="F387" s="1">
        <v>27</v>
      </c>
      <c r="G387" s="1">
        <f>26902+C387</f>
        <v>27817</v>
      </c>
      <c r="H387" s="1">
        <f t="shared" si="315"/>
        <v>366</v>
      </c>
      <c r="I387" s="1"/>
      <c r="J387" s="1"/>
      <c r="K387" s="21">
        <f t="shared" si="312"/>
        <v>28825.906735751298</v>
      </c>
      <c r="L387" s="21">
        <f t="shared" si="313"/>
        <v>948.18652849740931</v>
      </c>
      <c r="M387" s="31">
        <f t="shared" si="316"/>
        <v>-2.7247956403269754E-3</v>
      </c>
      <c r="N387" s="31">
        <f t="shared" si="317"/>
        <v>4.9180327868852458E-2</v>
      </c>
      <c r="O387" s="43">
        <f t="shared" si="318"/>
        <v>27.979274611398964</v>
      </c>
      <c r="P387" s="49">
        <f t="shared" si="319"/>
        <v>2.9508196721311476E-2</v>
      </c>
      <c r="Q387" s="47">
        <f t="shared" si="320"/>
        <v>379.27461139896377</v>
      </c>
      <c r="R387" s="66">
        <f t="shared" si="321"/>
        <v>76.002732240437155</v>
      </c>
      <c r="S387" s="92">
        <f t="shared" si="314"/>
        <v>15.544041450777202</v>
      </c>
      <c r="T387" s="93">
        <f t="shared" si="322"/>
        <v>3.1088082901554404</v>
      </c>
      <c r="U387" s="97"/>
      <c r="V387" s="98" t="str">
        <f t="shared" si="323"/>
        <v>NS</v>
      </c>
      <c r="W387" s="100">
        <f t="shared" si="324"/>
        <v>11.323772894944454</v>
      </c>
      <c r="X387" s="103">
        <f t="shared" si="325"/>
        <v>9.0929448469824429E-3</v>
      </c>
    </row>
    <row r="388" spans="2:24" x14ac:dyDescent="0.3">
      <c r="B388" s="5" t="s">
        <v>7</v>
      </c>
      <c r="C388" s="1">
        <v>118</v>
      </c>
      <c r="D388" s="14">
        <v>0.77200000000000002</v>
      </c>
      <c r="E388" s="1">
        <v>112</v>
      </c>
      <c r="F388" s="1">
        <v>0</v>
      </c>
      <c r="G388" s="1">
        <v>13196</v>
      </c>
      <c r="H388" s="1">
        <f t="shared" si="315"/>
        <v>6</v>
      </c>
      <c r="I388" s="1"/>
      <c r="J388" s="1"/>
      <c r="K388" s="21">
        <f t="shared" si="312"/>
        <v>17093.264248704661</v>
      </c>
      <c r="L388" s="21">
        <f t="shared" si="313"/>
        <v>152.84974093264248</v>
      </c>
      <c r="M388" s="31">
        <f t="shared" si="316"/>
        <v>0</v>
      </c>
      <c r="N388" s="31">
        <f t="shared" si="317"/>
        <v>0</v>
      </c>
      <c r="O388" s="43">
        <f t="shared" si="318"/>
        <v>0</v>
      </c>
      <c r="P388" s="49">
        <f t="shared" si="319"/>
        <v>0</v>
      </c>
      <c r="Q388" s="47">
        <f t="shared" si="320"/>
        <v>7.7720207253886011</v>
      </c>
      <c r="R388" s="66">
        <f t="shared" si="321"/>
        <v>2199.3333333333335</v>
      </c>
      <c r="S388" s="92">
        <f t="shared" si="314"/>
        <v>0</v>
      </c>
      <c r="T388" s="93">
        <f t="shared" si="322"/>
        <v>0</v>
      </c>
      <c r="U388" s="97"/>
      <c r="V388" s="98" t="str">
        <f t="shared" si="323"/>
        <v>NB</v>
      </c>
      <c r="W388" s="100">
        <f t="shared" si="324"/>
        <v>400.84916522740355</v>
      </c>
      <c r="X388" s="103">
        <f t="shared" si="325"/>
        <v>2.4719145496486152E-3</v>
      </c>
    </row>
    <row r="389" spans="2:24" x14ac:dyDescent="0.3">
      <c r="B389" s="5" t="s">
        <v>18</v>
      </c>
      <c r="C389" s="9">
        <v>26</v>
      </c>
      <c r="D389" s="15">
        <v>0.154</v>
      </c>
      <c r="E389" s="9">
        <v>24</v>
      </c>
      <c r="F389" s="9">
        <v>0</v>
      </c>
      <c r="G389" s="9">
        <v>2794</v>
      </c>
      <c r="H389" s="1">
        <f t="shared" si="315"/>
        <v>2</v>
      </c>
      <c r="I389" s="9"/>
      <c r="J389" s="9"/>
      <c r="K389" s="22">
        <f t="shared" si="312"/>
        <v>18142.857142857141</v>
      </c>
      <c r="L389" s="22">
        <f t="shared" si="313"/>
        <v>168.83116883116884</v>
      </c>
      <c r="M389" s="31">
        <f t="shared" si="316"/>
        <v>0</v>
      </c>
      <c r="N389" s="31">
        <f t="shared" si="317"/>
        <v>0</v>
      </c>
      <c r="O389" s="44">
        <f t="shared" si="318"/>
        <v>0</v>
      </c>
      <c r="P389" s="49">
        <f t="shared" si="319"/>
        <v>0</v>
      </c>
      <c r="Q389" s="47">
        <f t="shared" si="320"/>
        <v>12.987012987012987</v>
      </c>
      <c r="R389" s="66">
        <f t="shared" si="321"/>
        <v>1397</v>
      </c>
      <c r="S389" s="92">
        <f t="shared" si="314"/>
        <v>0</v>
      </c>
      <c r="T389" s="93">
        <f t="shared" si="322"/>
        <v>0</v>
      </c>
      <c r="U389" s="97"/>
      <c r="V389" s="98" t="str">
        <f t="shared" si="323"/>
        <v>PEI</v>
      </c>
      <c r="W389" s="100">
        <f t="shared" si="324"/>
        <v>400.93795093795092</v>
      </c>
      <c r="X389" s="103">
        <f t="shared" si="325"/>
        <v>2.5724130228402301E-3</v>
      </c>
    </row>
    <row r="390" spans="2:24" ht="15" thickBot="1" x14ac:dyDescent="0.35">
      <c r="B390" s="5" t="s">
        <v>11</v>
      </c>
      <c r="C390" s="9">
        <v>258</v>
      </c>
      <c r="D390" s="15">
        <v>0.52400000000000002</v>
      </c>
      <c r="E390" s="9">
        <v>222</v>
      </c>
      <c r="F390" s="9">
        <v>3</v>
      </c>
      <c r="G390" s="9">
        <v>7955</v>
      </c>
      <c r="H390" s="9">
        <f t="shared" si="315"/>
        <v>33</v>
      </c>
      <c r="I390" s="9"/>
      <c r="J390" s="9"/>
      <c r="K390" s="22">
        <f t="shared" si="312"/>
        <v>15181.297709923663</v>
      </c>
      <c r="L390" s="22">
        <f t="shared" si="313"/>
        <v>492.36641221374043</v>
      </c>
      <c r="M390" s="31">
        <f t="shared" si="316"/>
        <v>0</v>
      </c>
      <c r="N390" s="32">
        <f t="shared" si="317"/>
        <v>1.3333333333333334E-2</v>
      </c>
      <c r="O390" s="44">
        <f t="shared" si="318"/>
        <v>5.7251908396946565</v>
      </c>
      <c r="P390" s="50">
        <f t="shared" si="319"/>
        <v>1.1627906976744186E-2</v>
      </c>
      <c r="Q390" s="48">
        <f t="shared" si="320"/>
        <v>62.977099236641216</v>
      </c>
      <c r="R390" s="67">
        <f t="shared" si="321"/>
        <v>241.06060606060606</v>
      </c>
      <c r="S390" s="92">
        <f t="shared" si="314"/>
        <v>1.9083969465648853</v>
      </c>
      <c r="T390" s="93">
        <f t="shared" si="322"/>
        <v>0</v>
      </c>
      <c r="U390" s="97"/>
      <c r="V390" s="99" t="str">
        <f t="shared" si="323"/>
        <v>NFLD</v>
      </c>
      <c r="W390" s="107">
        <f t="shared" si="324"/>
        <v>77.842035623409672</v>
      </c>
      <c r="X390" s="103">
        <f t="shared" si="325"/>
        <v>8.9654744105807944E-3</v>
      </c>
    </row>
    <row r="391" spans="2:24" ht="15" thickBot="1" x14ac:dyDescent="0.35">
      <c r="B391" s="11" t="s">
        <v>10</v>
      </c>
      <c r="C391" s="12">
        <v>50026</v>
      </c>
      <c r="D391" s="16">
        <v>37.6</v>
      </c>
      <c r="E391" s="12">
        <v>19231</v>
      </c>
      <c r="F391" s="12">
        <v>2859</v>
      </c>
      <c r="G391" s="12">
        <f>SUM(G381:G390)</f>
        <v>779548</v>
      </c>
      <c r="H391" s="81">
        <f t="shared" si="315"/>
        <v>27936</v>
      </c>
      <c r="I391" s="111"/>
      <c r="J391" s="111"/>
      <c r="K391" s="77">
        <f t="shared" si="312"/>
        <v>20732.659574468085</v>
      </c>
      <c r="L391" s="23">
        <f t="shared" si="313"/>
        <v>1330.4787234042553</v>
      </c>
      <c r="M391" s="31">
        <f t="shared" si="316"/>
        <v>1.4931880108991826E-2</v>
      </c>
      <c r="N391" s="33">
        <f t="shared" si="317"/>
        <v>0.12942507922136715</v>
      </c>
      <c r="O391" s="45">
        <f>F391/D391</f>
        <v>76.037234042553195</v>
      </c>
      <c r="P391" s="53">
        <f t="shared" si="319"/>
        <v>5.7150281853436215E-2</v>
      </c>
      <c r="Q391" s="55">
        <f t="shared" si="320"/>
        <v>742.97872340425533</v>
      </c>
      <c r="R391" s="74">
        <f t="shared" si="321"/>
        <v>27.904782359679267</v>
      </c>
      <c r="S391" s="92">
        <f t="shared" si="314"/>
        <v>40.585106382978722</v>
      </c>
      <c r="T391" s="93">
        <f t="shared" si="322"/>
        <v>4.042553191489362</v>
      </c>
      <c r="U391" s="97"/>
      <c r="V391" s="108" t="str">
        <f t="shared" si="323"/>
        <v>Canada</v>
      </c>
      <c r="W391" s="109">
        <f t="shared" si="324"/>
        <v>8.5421509739636257</v>
      </c>
      <c r="X391" s="103">
        <f t="shared" si="325"/>
        <v>1.7739716312056737E-2</v>
      </c>
    </row>
    <row r="392" spans="2:24" ht="15" thickBot="1" x14ac:dyDescent="0.35">
      <c r="B392" s="6" t="s">
        <v>9</v>
      </c>
      <c r="C392" s="7">
        <v>1005592</v>
      </c>
      <c r="D392" s="7">
        <v>327</v>
      </c>
      <c r="E392" s="7">
        <v>139937</v>
      </c>
      <c r="F392" s="7">
        <v>58362</v>
      </c>
      <c r="G392" s="7">
        <v>5795728</v>
      </c>
      <c r="H392" s="82">
        <f t="shared" si="315"/>
        <v>807293</v>
      </c>
      <c r="I392" s="112"/>
      <c r="J392" s="112"/>
      <c r="K392" s="78">
        <f t="shared" si="312"/>
        <v>17723.93883792049</v>
      </c>
      <c r="L392" s="24">
        <f t="shared" si="313"/>
        <v>3075.2048929663611</v>
      </c>
      <c r="M392" s="31">
        <f t="shared" si="316"/>
        <v>2.5334478107464826E-2</v>
      </c>
      <c r="N392" s="33">
        <f t="shared" si="317"/>
        <v>0.29431313319784769</v>
      </c>
      <c r="O392" s="46">
        <f>F392/D392</f>
        <v>178.47706422018348</v>
      </c>
      <c r="P392" s="52">
        <f t="shared" si="319"/>
        <v>5.803745455413329E-2</v>
      </c>
      <c r="Q392" s="54">
        <f t="shared" si="320"/>
        <v>2468.7859327217125</v>
      </c>
      <c r="R392" s="72">
        <f t="shared" si="321"/>
        <v>7.1792125040103159</v>
      </c>
      <c r="S392" s="92">
        <f t="shared" si="314"/>
        <v>74.795107033639141</v>
      </c>
      <c r="T392" s="93">
        <f t="shared" si="322"/>
        <v>6.2354740061162079</v>
      </c>
      <c r="U392" s="97"/>
      <c r="V392" s="108" t="str">
        <f t="shared" si="323"/>
        <v>USA</v>
      </c>
      <c r="W392" s="109">
        <f t="shared" si="324"/>
        <v>17.567173778617473</v>
      </c>
      <c r="X392" s="103">
        <f t="shared" si="325"/>
        <v>4.7963135621751085E-2</v>
      </c>
    </row>
    <row r="393" spans="2:24" ht="15" thickBot="1" x14ac:dyDescent="0.35"/>
    <row r="394" spans="2:24" ht="29.4" thickBot="1" x14ac:dyDescent="0.35">
      <c r="B394" s="96">
        <v>47209</v>
      </c>
      <c r="C394" s="18" t="s">
        <v>8</v>
      </c>
      <c r="D394" s="19" t="s">
        <v>17</v>
      </c>
      <c r="E394" s="19" t="s">
        <v>15</v>
      </c>
      <c r="F394" s="19" t="s">
        <v>16</v>
      </c>
      <c r="G394" s="19" t="s">
        <v>14</v>
      </c>
      <c r="H394" s="19" t="s">
        <v>38</v>
      </c>
      <c r="I394" s="19"/>
      <c r="J394" s="19"/>
      <c r="K394" s="19" t="s">
        <v>21</v>
      </c>
      <c r="L394" s="19" t="s">
        <v>20</v>
      </c>
      <c r="M394" s="19" t="s">
        <v>40</v>
      </c>
      <c r="N394" s="19" t="s">
        <v>32</v>
      </c>
      <c r="O394" s="19" t="s">
        <v>22</v>
      </c>
      <c r="P394" s="51" t="s">
        <v>34</v>
      </c>
      <c r="Q394" s="20" t="s">
        <v>35</v>
      </c>
      <c r="R394" s="63" t="s">
        <v>39</v>
      </c>
      <c r="S394" s="91" t="s">
        <v>43</v>
      </c>
      <c r="T394" s="91" t="s">
        <v>44</v>
      </c>
      <c r="V394" s="104" t="s">
        <v>48</v>
      </c>
      <c r="W394" s="105" t="s">
        <v>49</v>
      </c>
      <c r="X394" s="106" t="s">
        <v>50</v>
      </c>
    </row>
    <row r="395" spans="2:24" x14ac:dyDescent="0.3">
      <c r="B395" s="3" t="s">
        <v>0</v>
      </c>
      <c r="C395" s="1">
        <v>15728</v>
      </c>
      <c r="D395" s="14">
        <v>14.45</v>
      </c>
      <c r="E395" s="1">
        <v>9612</v>
      </c>
      <c r="F395" s="1">
        <v>996</v>
      </c>
      <c r="G395" s="1">
        <v>264594</v>
      </c>
      <c r="H395" s="1">
        <f>C395-E395-F395</f>
        <v>5120</v>
      </c>
      <c r="I395" s="1"/>
      <c r="J395" s="1"/>
      <c r="K395" s="21">
        <f t="shared" ref="K395:K406" si="326">G395/D395</f>
        <v>18311.003460207612</v>
      </c>
      <c r="L395" s="21">
        <f t="shared" ref="L395:L406" si="327">C395/D395</f>
        <v>1088.4429065743946</v>
      </c>
      <c r="M395" s="31">
        <f>(H395-H381)/H381</f>
        <v>-6.3300402488108309E-2</v>
      </c>
      <c r="N395" s="31">
        <f>F395/(E395+F395)</f>
        <v>9.3891402714932126E-2</v>
      </c>
      <c r="O395" s="43">
        <f>F395/D395</f>
        <v>68.927335640138409</v>
      </c>
      <c r="P395" s="49">
        <f>F395/C395</f>
        <v>6.3326551373346904E-2</v>
      </c>
      <c r="Q395" s="47">
        <f>(C395-E395-F395)/D395</f>
        <v>354.32525951557096</v>
      </c>
      <c r="R395" s="66">
        <f>G395/H395</f>
        <v>51.678515625000003</v>
      </c>
      <c r="S395" s="92">
        <f t="shared" ref="S395:S406" si="328">(C395-C381)/D395</f>
        <v>24.01384083044983</v>
      </c>
      <c r="T395" s="93">
        <f>(F395-F381)/D395</f>
        <v>3.1141868512110729</v>
      </c>
      <c r="V395" s="101" t="str">
        <f>B395</f>
        <v>ON</v>
      </c>
      <c r="W395" s="102">
        <f>C395/D395/180+IFERROR((D395*C395*5)/(F395*F395),400)</f>
        <v>7.1923986575950423</v>
      </c>
      <c r="X395" s="103">
        <f>L395/75000/K395*K$405</f>
        <v>1.7075940813805087E-2</v>
      </c>
    </row>
    <row r="396" spans="2:24" x14ac:dyDescent="0.3">
      <c r="B396" s="5" t="s">
        <v>1</v>
      </c>
      <c r="C396" s="1">
        <v>26594</v>
      </c>
      <c r="D396" s="14">
        <v>8.43</v>
      </c>
      <c r="E396" s="1">
        <v>6048</v>
      </c>
      <c r="F396" s="1">
        <v>1761</v>
      </c>
      <c r="G396" s="1">
        <v>211776</v>
      </c>
      <c r="H396" s="1">
        <f t="shared" ref="H396:H406" si="329">C396-E396-F396</f>
        <v>18785</v>
      </c>
      <c r="I396" s="1"/>
      <c r="J396" s="1"/>
      <c r="K396" s="21">
        <f t="shared" si="326"/>
        <v>25121.708185053383</v>
      </c>
      <c r="L396" s="21">
        <f t="shared" si="327"/>
        <v>3154.6856465005931</v>
      </c>
      <c r="M396" s="31">
        <f t="shared" ref="M396:M406" si="330">(H396-H382)/H382</f>
        <v>3.0218273554897444E-2</v>
      </c>
      <c r="N396" s="31">
        <f t="shared" ref="N396:N406" si="331">F396/(E396+F396)</f>
        <v>0.22550902804456396</v>
      </c>
      <c r="O396" s="43">
        <f t="shared" ref="O396:O404" si="332">F396/D396</f>
        <v>208.89679715302492</v>
      </c>
      <c r="P396" s="49">
        <f t="shared" ref="P396:P406" si="333">F396/C396</f>
        <v>6.6217943897119658E-2</v>
      </c>
      <c r="Q396" s="47">
        <f t="shared" ref="Q396:Q406" si="334">(C396-E396-F396)/D396</f>
        <v>2228.3511269276396</v>
      </c>
      <c r="R396" s="66">
        <f t="shared" ref="R396:R406" si="335">G396/H396</f>
        <v>11.273675805163695</v>
      </c>
      <c r="S396" s="92">
        <f t="shared" si="328"/>
        <v>99.288256227758012</v>
      </c>
      <c r="T396" s="93">
        <f t="shared" ref="T396:T406" si="336">(F396-F382)/D396</f>
        <v>9.3712930011862401</v>
      </c>
      <c r="V396" s="98" t="str">
        <f t="shared" ref="V396:V406" si="337">B396</f>
        <v>QC</v>
      </c>
      <c r="W396" s="100">
        <f t="shared" ref="W396:W406" si="338">C396/D396/180+IFERROR((D396*C396*5)/(F396*F396),400)</f>
        <v>17.887493273062592</v>
      </c>
      <c r="X396" s="103">
        <f t="shared" ref="X396:X406" si="339">L396/75000/K396*K$405</f>
        <v>3.6074311861562805E-2</v>
      </c>
    </row>
    <row r="397" spans="2:24" x14ac:dyDescent="0.3">
      <c r="B397" s="5" t="s">
        <v>2</v>
      </c>
      <c r="C397" s="1">
        <v>2087</v>
      </c>
      <c r="D397" s="14">
        <v>5.0199999999999996</v>
      </c>
      <c r="E397" s="1">
        <v>1305</v>
      </c>
      <c r="F397" s="1">
        <v>109</v>
      </c>
      <c r="G397" s="1">
        <v>83425</v>
      </c>
      <c r="H397" s="1">
        <f t="shared" si="329"/>
        <v>673</v>
      </c>
      <c r="I397" s="1"/>
      <c r="J397" s="1"/>
      <c r="K397" s="21">
        <f t="shared" si="326"/>
        <v>16618.525896414343</v>
      </c>
      <c r="L397" s="21">
        <f t="shared" si="327"/>
        <v>415.73705179282871</v>
      </c>
      <c r="M397" s="31">
        <f t="shared" si="330"/>
        <v>-6.1366806136680614E-2</v>
      </c>
      <c r="N397" s="31">
        <f t="shared" si="331"/>
        <v>7.7086280056577083E-2</v>
      </c>
      <c r="O397" s="43">
        <f t="shared" si="332"/>
        <v>21.713147410358566</v>
      </c>
      <c r="P397" s="49">
        <f t="shared" si="333"/>
        <v>5.2228078581696216E-2</v>
      </c>
      <c r="Q397" s="47">
        <f t="shared" si="334"/>
        <v>134.06374501992033</v>
      </c>
      <c r="R397" s="66">
        <f t="shared" si="335"/>
        <v>123.95988112927192</v>
      </c>
      <c r="S397" s="92">
        <f t="shared" si="328"/>
        <v>6.7729083665338647</v>
      </c>
      <c r="T397" s="93">
        <f t="shared" si="336"/>
        <v>0.79681274900398413</v>
      </c>
      <c r="V397" s="98" t="str">
        <f t="shared" si="337"/>
        <v>BC</v>
      </c>
      <c r="W397" s="100">
        <f t="shared" si="338"/>
        <v>6.7186815140656879</v>
      </c>
      <c r="X397" s="103">
        <f t="shared" si="339"/>
        <v>7.1864989405271218E-3</v>
      </c>
    </row>
    <row r="398" spans="2:24" x14ac:dyDescent="0.3">
      <c r="B398" s="5" t="s">
        <v>3</v>
      </c>
      <c r="C398" s="1">
        <v>5165</v>
      </c>
      <c r="D398" s="14">
        <v>4.34</v>
      </c>
      <c r="E398" s="1">
        <v>1953</v>
      </c>
      <c r="F398" s="1">
        <v>87</v>
      </c>
      <c r="G398" s="1">
        <v>143886</v>
      </c>
      <c r="H398" s="1">
        <f t="shared" si="329"/>
        <v>3125</v>
      </c>
      <c r="I398" s="1"/>
      <c r="J398" s="1"/>
      <c r="K398" s="21">
        <f t="shared" si="326"/>
        <v>33153.456221198161</v>
      </c>
      <c r="L398" s="21">
        <f t="shared" si="327"/>
        <v>1190.0921658986176</v>
      </c>
      <c r="M398" s="31">
        <f t="shared" si="330"/>
        <v>5.2188552188552187E-2</v>
      </c>
      <c r="N398" s="31">
        <f t="shared" si="331"/>
        <v>4.2647058823529413E-2</v>
      </c>
      <c r="O398" s="43">
        <f t="shared" si="332"/>
        <v>20.046082949308758</v>
      </c>
      <c r="P398" s="49">
        <f t="shared" si="333"/>
        <v>1.6844143272023233E-2</v>
      </c>
      <c r="Q398" s="47">
        <f t="shared" si="334"/>
        <v>720.04608294930881</v>
      </c>
      <c r="R398" s="66">
        <f t="shared" si="335"/>
        <v>46.043520000000001</v>
      </c>
      <c r="S398" s="92">
        <f t="shared" si="328"/>
        <v>72.58064516129032</v>
      </c>
      <c r="T398" s="93">
        <f t="shared" si="336"/>
        <v>1.6129032258064517</v>
      </c>
      <c r="V398" s="98" t="str">
        <f t="shared" si="337"/>
        <v>AL</v>
      </c>
      <c r="W398" s="100">
        <f t="shared" si="338"/>
        <v>21.419457732334109</v>
      </c>
      <c r="X398" s="103">
        <f t="shared" si="339"/>
        <v>1.0312000337047758E-2</v>
      </c>
    </row>
    <row r="399" spans="2:24" x14ac:dyDescent="0.3">
      <c r="B399" s="5" t="s">
        <v>4</v>
      </c>
      <c r="C399" s="1">
        <v>273</v>
      </c>
      <c r="D399" s="14">
        <v>1.36</v>
      </c>
      <c r="E399" s="1">
        <v>213</v>
      </c>
      <c r="F399" s="1">
        <v>6</v>
      </c>
      <c r="G399" s="1">
        <v>24389</v>
      </c>
      <c r="H399" s="1">
        <f t="shared" si="329"/>
        <v>54</v>
      </c>
      <c r="I399" s="1"/>
      <c r="J399" s="1"/>
      <c r="K399" s="21">
        <f t="shared" si="326"/>
        <v>17933.088235294115</v>
      </c>
      <c r="L399" s="21">
        <f t="shared" si="327"/>
        <v>200.73529411764704</v>
      </c>
      <c r="M399" s="31">
        <f t="shared" si="330"/>
        <v>-0.11475409836065574</v>
      </c>
      <c r="N399" s="31">
        <f t="shared" si="331"/>
        <v>2.7397260273972601E-2</v>
      </c>
      <c r="O399" s="43">
        <f t="shared" si="332"/>
        <v>4.4117647058823524</v>
      </c>
      <c r="P399" s="49">
        <f t="shared" si="333"/>
        <v>2.197802197802198E-2</v>
      </c>
      <c r="Q399" s="47">
        <f t="shared" si="334"/>
        <v>39.705882352941174</v>
      </c>
      <c r="R399" s="66">
        <f t="shared" si="335"/>
        <v>451.64814814814815</v>
      </c>
      <c r="S399" s="92">
        <f t="shared" si="328"/>
        <v>0.73529411764705876</v>
      </c>
      <c r="T399" s="93">
        <f t="shared" si="336"/>
        <v>0</v>
      </c>
      <c r="V399" s="98" t="str">
        <f t="shared" si="337"/>
        <v>MA</v>
      </c>
      <c r="W399" s="100">
        <f t="shared" si="338"/>
        <v>52.681862745098044</v>
      </c>
      <c r="X399" s="103">
        <f t="shared" si="339"/>
        <v>3.215583455394523E-3</v>
      </c>
    </row>
    <row r="400" spans="2:24" x14ac:dyDescent="0.3">
      <c r="B400" s="5" t="s">
        <v>5</v>
      </c>
      <c r="C400" s="1">
        <v>383</v>
      </c>
      <c r="D400" s="14">
        <v>1.17</v>
      </c>
      <c r="E400" s="1">
        <v>291</v>
      </c>
      <c r="F400" s="1">
        <v>6</v>
      </c>
      <c r="G400" s="1">
        <v>29106</v>
      </c>
      <c r="H400" s="1">
        <f t="shared" si="329"/>
        <v>86</v>
      </c>
      <c r="I400" s="1"/>
      <c r="J400" s="1"/>
      <c r="K400" s="21">
        <f t="shared" si="326"/>
        <v>24876.923076923078</v>
      </c>
      <c r="L400" s="21">
        <f t="shared" si="327"/>
        <v>327.35042735042737</v>
      </c>
      <c r="M400" s="31">
        <f t="shared" si="330"/>
        <v>0.22857142857142856</v>
      </c>
      <c r="N400" s="31">
        <f t="shared" si="331"/>
        <v>2.0202020202020204E-2</v>
      </c>
      <c r="O400" s="43">
        <f t="shared" si="332"/>
        <v>5.1282051282051286</v>
      </c>
      <c r="P400" s="49">
        <f t="shared" si="333"/>
        <v>1.5665796344647518E-2</v>
      </c>
      <c r="Q400" s="47">
        <f t="shared" si="334"/>
        <v>73.504273504273513</v>
      </c>
      <c r="R400" s="66">
        <f t="shared" si="335"/>
        <v>338.44186046511629</v>
      </c>
      <c r="S400" s="92">
        <f t="shared" si="328"/>
        <v>14.529914529914532</v>
      </c>
      <c r="T400" s="93">
        <f t="shared" si="336"/>
        <v>0.85470085470085477</v>
      </c>
      <c r="V400" s="98" t="str">
        <f t="shared" si="337"/>
        <v>SA</v>
      </c>
      <c r="W400" s="100">
        <f t="shared" si="338"/>
        <v>64.056113485280136</v>
      </c>
      <c r="X400" s="103">
        <f t="shared" si="339"/>
        <v>3.7801356182561858E-3</v>
      </c>
    </row>
    <row r="401" spans="2:24" x14ac:dyDescent="0.3">
      <c r="B401" s="5" t="s">
        <v>6</v>
      </c>
      <c r="C401" s="1">
        <v>935</v>
      </c>
      <c r="D401" s="14">
        <v>0.96499999999999997</v>
      </c>
      <c r="E401" s="1">
        <v>529</v>
      </c>
      <c r="F401" s="1">
        <v>28</v>
      </c>
      <c r="G401" s="1">
        <f>27486+C401</f>
        <v>28421</v>
      </c>
      <c r="H401" s="1">
        <f t="shared" si="329"/>
        <v>378</v>
      </c>
      <c r="I401" s="1"/>
      <c r="J401" s="1"/>
      <c r="K401" s="21">
        <f t="shared" si="326"/>
        <v>29451.813471502592</v>
      </c>
      <c r="L401" s="21">
        <f t="shared" si="327"/>
        <v>968.91191709844566</v>
      </c>
      <c r="M401" s="31">
        <f t="shared" si="330"/>
        <v>3.2786885245901641E-2</v>
      </c>
      <c r="N401" s="31">
        <f t="shared" si="331"/>
        <v>5.0269299820466788E-2</v>
      </c>
      <c r="O401" s="43">
        <f t="shared" si="332"/>
        <v>29.015544041450777</v>
      </c>
      <c r="P401" s="49">
        <f t="shared" si="333"/>
        <v>2.9946524064171122E-2</v>
      </c>
      <c r="Q401" s="47">
        <f t="shared" si="334"/>
        <v>391.70984455958552</v>
      </c>
      <c r="R401" s="66">
        <f t="shared" si="335"/>
        <v>75.187830687830683</v>
      </c>
      <c r="S401" s="92">
        <f t="shared" si="328"/>
        <v>20.725388601036268</v>
      </c>
      <c r="T401" s="93">
        <f t="shared" si="336"/>
        <v>1.0362694300518136</v>
      </c>
      <c r="V401" s="98" t="str">
        <f t="shared" si="337"/>
        <v>NS</v>
      </c>
      <c r="W401" s="100">
        <f t="shared" si="338"/>
        <v>11.137148830819029</v>
      </c>
      <c r="X401" s="103">
        <f t="shared" si="339"/>
        <v>9.4506871854070553E-3</v>
      </c>
    </row>
    <row r="402" spans="2:24" x14ac:dyDescent="0.3">
      <c r="B402" s="5" t="s">
        <v>7</v>
      </c>
      <c r="C402" s="1">
        <v>118</v>
      </c>
      <c r="D402" s="14">
        <v>0.77200000000000002</v>
      </c>
      <c r="E402" s="1">
        <v>114</v>
      </c>
      <c r="F402" s="1">
        <v>0</v>
      </c>
      <c r="G402" s="1">
        <v>13699</v>
      </c>
      <c r="H402" s="1">
        <f t="shared" si="329"/>
        <v>4</v>
      </c>
      <c r="I402" s="1"/>
      <c r="J402" s="1"/>
      <c r="K402" s="21">
        <f t="shared" si="326"/>
        <v>17744.818652849739</v>
      </c>
      <c r="L402" s="21">
        <f t="shared" si="327"/>
        <v>152.84974093264248</v>
      </c>
      <c r="M402" s="31">
        <f t="shared" si="330"/>
        <v>-0.33333333333333331</v>
      </c>
      <c r="N402" s="31">
        <f t="shared" si="331"/>
        <v>0</v>
      </c>
      <c r="O402" s="43">
        <f t="shared" si="332"/>
        <v>0</v>
      </c>
      <c r="P402" s="49">
        <f t="shared" si="333"/>
        <v>0</v>
      </c>
      <c r="Q402" s="47">
        <f t="shared" si="334"/>
        <v>5.1813471502590671</v>
      </c>
      <c r="R402" s="66">
        <f t="shared" si="335"/>
        <v>3424.75</v>
      </c>
      <c r="S402" s="92">
        <f t="shared" si="328"/>
        <v>0</v>
      </c>
      <c r="T402" s="93">
        <f t="shared" si="336"/>
        <v>0</v>
      </c>
      <c r="V402" s="98" t="str">
        <f t="shared" si="337"/>
        <v>NB</v>
      </c>
      <c r="W402" s="100">
        <f t="shared" si="338"/>
        <v>400.84916522740355</v>
      </c>
      <c r="X402" s="103">
        <f t="shared" si="339"/>
        <v>2.4744818563657645E-3</v>
      </c>
    </row>
    <row r="403" spans="2:24" x14ac:dyDescent="0.3">
      <c r="B403" s="5" t="s">
        <v>18</v>
      </c>
      <c r="C403" s="9">
        <v>27</v>
      </c>
      <c r="D403" s="15">
        <v>0.154</v>
      </c>
      <c r="E403" s="9">
        <v>24</v>
      </c>
      <c r="F403" s="9">
        <v>0</v>
      </c>
      <c r="G403" s="9">
        <v>2852</v>
      </c>
      <c r="H403" s="1">
        <f t="shared" si="329"/>
        <v>3</v>
      </c>
      <c r="I403" s="9"/>
      <c r="J403" s="9"/>
      <c r="K403" s="22">
        <f t="shared" si="326"/>
        <v>18519.480519480519</v>
      </c>
      <c r="L403" s="22">
        <f t="shared" si="327"/>
        <v>175.32467532467533</v>
      </c>
      <c r="M403" s="31">
        <f t="shared" si="330"/>
        <v>0.5</v>
      </c>
      <c r="N403" s="31">
        <f t="shared" si="331"/>
        <v>0</v>
      </c>
      <c r="O403" s="44">
        <f t="shared" si="332"/>
        <v>0</v>
      </c>
      <c r="P403" s="49">
        <f t="shared" si="333"/>
        <v>0</v>
      </c>
      <c r="Q403" s="47">
        <f t="shared" si="334"/>
        <v>19.480519480519479</v>
      </c>
      <c r="R403" s="66">
        <f t="shared" si="335"/>
        <v>950.66666666666663</v>
      </c>
      <c r="S403" s="92">
        <f t="shared" si="328"/>
        <v>6.4935064935064934</v>
      </c>
      <c r="T403" s="93">
        <f t="shared" si="336"/>
        <v>0</v>
      </c>
      <c r="V403" s="98" t="str">
        <f t="shared" si="337"/>
        <v>PEI</v>
      </c>
      <c r="W403" s="100">
        <f t="shared" si="338"/>
        <v>400.97402597402595</v>
      </c>
      <c r="X403" s="103">
        <f t="shared" si="339"/>
        <v>2.719602145564143E-3</v>
      </c>
    </row>
    <row r="404" spans="2:24" ht="15" thickBot="1" x14ac:dyDescent="0.35">
      <c r="B404" s="5" t="s">
        <v>11</v>
      </c>
      <c r="C404" s="9">
        <v>258</v>
      </c>
      <c r="D404" s="15">
        <v>0.52400000000000002</v>
      </c>
      <c r="E404" s="9">
        <v>222</v>
      </c>
      <c r="F404" s="9">
        <v>3</v>
      </c>
      <c r="G404" s="9">
        <v>7955</v>
      </c>
      <c r="H404" s="9">
        <f t="shared" si="329"/>
        <v>33</v>
      </c>
      <c r="I404" s="9"/>
      <c r="J404" s="9"/>
      <c r="K404" s="22">
        <f t="shared" si="326"/>
        <v>15181.297709923663</v>
      </c>
      <c r="L404" s="22">
        <f t="shared" si="327"/>
        <v>492.36641221374043</v>
      </c>
      <c r="M404" s="31">
        <f t="shared" si="330"/>
        <v>0</v>
      </c>
      <c r="N404" s="32">
        <f t="shared" si="331"/>
        <v>1.3333333333333334E-2</v>
      </c>
      <c r="O404" s="44">
        <f t="shared" si="332"/>
        <v>5.7251908396946565</v>
      </c>
      <c r="P404" s="50">
        <f t="shared" si="333"/>
        <v>1.1627906976744186E-2</v>
      </c>
      <c r="Q404" s="48">
        <f t="shared" si="334"/>
        <v>62.977099236641216</v>
      </c>
      <c r="R404" s="67">
        <f t="shared" si="335"/>
        <v>241.06060606060606</v>
      </c>
      <c r="S404" s="92">
        <f t="shared" si="328"/>
        <v>0</v>
      </c>
      <c r="T404" s="93">
        <f t="shared" si="336"/>
        <v>0</v>
      </c>
      <c r="V404" s="99" t="str">
        <f t="shared" si="337"/>
        <v>NFLD</v>
      </c>
      <c r="W404" s="107">
        <f t="shared" si="338"/>
        <v>77.842035623409672</v>
      </c>
      <c r="X404" s="103">
        <f t="shared" si="339"/>
        <v>9.3168832662449685E-3</v>
      </c>
    </row>
    <row r="405" spans="2:24" ht="15" thickBot="1" x14ac:dyDescent="0.35">
      <c r="B405" s="11" t="s">
        <v>10</v>
      </c>
      <c r="C405" s="12">
        <v>51597</v>
      </c>
      <c r="D405" s="16">
        <v>37.6</v>
      </c>
      <c r="E405" s="12">
        <v>20327</v>
      </c>
      <c r="F405" s="12">
        <v>2996</v>
      </c>
      <c r="G405" s="12">
        <f>SUM(G395:G404)</f>
        <v>810103</v>
      </c>
      <c r="H405" s="81">
        <f t="shared" si="329"/>
        <v>28274</v>
      </c>
      <c r="I405" s="111"/>
      <c r="J405" s="111"/>
      <c r="K405" s="77">
        <f t="shared" si="326"/>
        <v>21545.292553191488</v>
      </c>
      <c r="L405" s="23">
        <f t="shared" si="327"/>
        <v>1372.2606382978722</v>
      </c>
      <c r="M405" s="31">
        <f t="shared" si="330"/>
        <v>1.2099083619702177E-2</v>
      </c>
      <c r="N405" s="33">
        <f t="shared" si="331"/>
        <v>0.12845688805042232</v>
      </c>
      <c r="O405" s="45">
        <f>F405/D405</f>
        <v>79.680851063829778</v>
      </c>
      <c r="P405" s="53">
        <f t="shared" si="333"/>
        <v>5.8065391398724735E-2</v>
      </c>
      <c r="Q405" s="55">
        <f t="shared" si="334"/>
        <v>751.968085106383</v>
      </c>
      <c r="R405" s="74">
        <f t="shared" si="335"/>
        <v>28.651870976869208</v>
      </c>
      <c r="S405" s="92">
        <f t="shared" si="328"/>
        <v>41.781914893617021</v>
      </c>
      <c r="T405" s="93">
        <f t="shared" si="336"/>
        <v>3.6436170212765955</v>
      </c>
      <c r="V405" s="108" t="str">
        <f t="shared" si="337"/>
        <v>Canada</v>
      </c>
      <c r="W405" s="109">
        <f t="shared" si="338"/>
        <v>8.7043541152901938</v>
      </c>
      <c r="X405" s="103">
        <f t="shared" si="339"/>
        <v>1.8296808510638297E-2</v>
      </c>
    </row>
    <row r="406" spans="2:24" ht="15" thickBot="1" x14ac:dyDescent="0.35">
      <c r="B406" s="6" t="s">
        <v>9</v>
      </c>
      <c r="C406" s="7">
        <v>1049431</v>
      </c>
      <c r="D406" s="7">
        <v>327</v>
      </c>
      <c r="E406" s="7">
        <v>144411</v>
      </c>
      <c r="F406" s="7">
        <v>60640</v>
      </c>
      <c r="G406" s="7">
        <v>6043315</v>
      </c>
      <c r="H406" s="82">
        <f t="shared" si="329"/>
        <v>844380</v>
      </c>
      <c r="I406" s="112"/>
      <c r="J406" s="112"/>
      <c r="K406" s="78">
        <f t="shared" si="326"/>
        <v>18481.085626911314</v>
      </c>
      <c r="L406" s="24">
        <f t="shared" si="327"/>
        <v>3209.2691131498473</v>
      </c>
      <c r="M406" s="31">
        <f t="shared" si="330"/>
        <v>4.5939949931437532E-2</v>
      </c>
      <c r="N406" s="33">
        <f t="shared" si="331"/>
        <v>0.29573130587024693</v>
      </c>
      <c r="O406" s="46">
        <f>F406/D406</f>
        <v>185.4434250764526</v>
      </c>
      <c r="P406" s="52">
        <f t="shared" si="333"/>
        <v>5.7783694211434575E-2</v>
      </c>
      <c r="Q406" s="54">
        <f t="shared" si="334"/>
        <v>2582.2018348623851</v>
      </c>
      <c r="R406" s="72">
        <f t="shared" si="335"/>
        <v>7.1571034368412327</v>
      </c>
      <c r="S406" s="92">
        <f t="shared" si="328"/>
        <v>134.06422018348624</v>
      </c>
      <c r="T406" s="93">
        <f t="shared" si="336"/>
        <v>6.9663608562691133</v>
      </c>
      <c r="V406" s="108" t="str">
        <f t="shared" si="337"/>
        <v>USA</v>
      </c>
      <c r="W406" s="109">
        <f t="shared" si="338"/>
        <v>18.295882011485173</v>
      </c>
      <c r="X406" s="103">
        <f t="shared" si="339"/>
        <v>4.9884978491414725E-2</v>
      </c>
    </row>
    <row r="407" spans="2:24" ht="15" thickBot="1" x14ac:dyDescent="0.35"/>
    <row r="408" spans="2:24" ht="29.4" thickBot="1" x14ac:dyDescent="0.35">
      <c r="B408" s="96">
        <v>47574</v>
      </c>
      <c r="C408" s="18" t="s">
        <v>8</v>
      </c>
      <c r="D408" s="19" t="s">
        <v>17</v>
      </c>
      <c r="E408" s="19" t="s">
        <v>15</v>
      </c>
      <c r="F408" s="19" t="s">
        <v>16</v>
      </c>
      <c r="G408" s="19" t="s">
        <v>14</v>
      </c>
      <c r="H408" s="19" t="s">
        <v>38</v>
      </c>
      <c r="I408" s="19"/>
      <c r="J408" s="19"/>
      <c r="K408" s="19" t="s">
        <v>21</v>
      </c>
      <c r="L408" s="19" t="s">
        <v>20</v>
      </c>
      <c r="M408" s="19" t="s">
        <v>40</v>
      </c>
      <c r="N408" s="19" t="s">
        <v>32</v>
      </c>
      <c r="O408" s="19" t="s">
        <v>22</v>
      </c>
      <c r="P408" s="51" t="s">
        <v>34</v>
      </c>
      <c r="Q408" s="20" t="s">
        <v>35</v>
      </c>
      <c r="R408" s="63" t="s">
        <v>39</v>
      </c>
      <c r="S408" s="91" t="s">
        <v>43</v>
      </c>
      <c r="T408" s="91" t="s">
        <v>44</v>
      </c>
      <c r="V408" s="104" t="s">
        <v>48</v>
      </c>
      <c r="W408" s="105" t="s">
        <v>49</v>
      </c>
      <c r="X408" s="106" t="s">
        <v>50</v>
      </c>
    </row>
    <row r="409" spans="2:24" x14ac:dyDescent="0.3">
      <c r="B409" s="3" t="s">
        <v>0</v>
      </c>
      <c r="C409" s="1">
        <v>16187</v>
      </c>
      <c r="D409" s="14">
        <v>14.45</v>
      </c>
      <c r="E409" s="1">
        <v>10205</v>
      </c>
      <c r="F409" s="1">
        <v>1082</v>
      </c>
      <c r="G409" s="1">
        <v>277522</v>
      </c>
      <c r="H409" s="1">
        <f>C409-E409-F409</f>
        <v>4900</v>
      </c>
      <c r="I409" s="1"/>
      <c r="J409" s="1"/>
      <c r="K409" s="21">
        <f t="shared" ref="K409:K420" si="340">G409/D409</f>
        <v>19205.674740484432</v>
      </c>
      <c r="L409" s="21">
        <f t="shared" ref="L409:L420" si="341">C409/D409</f>
        <v>1120.2076124567475</v>
      </c>
      <c r="M409" s="31">
        <f>(H409-H395)/H395</f>
        <v>-4.296875E-2</v>
      </c>
      <c r="N409" s="31">
        <f>F409/(E409+F409)</f>
        <v>9.5862496677593695E-2</v>
      </c>
      <c r="O409" s="43">
        <f>F409/D409</f>
        <v>74.878892733564015</v>
      </c>
      <c r="P409" s="49">
        <f>F409/C409</f>
        <v>6.6843763513930926E-2</v>
      </c>
      <c r="Q409" s="47">
        <f>(C409-E409-F409)/D409</f>
        <v>339.10034602076126</v>
      </c>
      <c r="R409" s="66">
        <f>G409/H409</f>
        <v>56.637142857142855</v>
      </c>
      <c r="S409" s="92">
        <f t="shared" ref="S409:S420" si="342">(C409-C395)/D409</f>
        <v>31.764705882352942</v>
      </c>
      <c r="T409" s="93">
        <f>(F409-F395)/D409</f>
        <v>5.9515570934256061</v>
      </c>
      <c r="V409" s="101" t="str">
        <f>B409</f>
        <v>ON</v>
      </c>
      <c r="W409" s="102">
        <f>C409/D409/180+IFERROR((D409*C409*5)/(F409*F409),400)</f>
        <v>7.2223393002289047</v>
      </c>
      <c r="X409" s="103">
        <f>L409/75000/K409*K$419</f>
        <v>1.7241826814982299E-2</v>
      </c>
    </row>
    <row r="410" spans="2:24" x14ac:dyDescent="0.3">
      <c r="B410" s="5" t="s">
        <v>1</v>
      </c>
      <c r="C410" s="1">
        <v>27538</v>
      </c>
      <c r="D410" s="14">
        <v>8.43</v>
      </c>
      <c r="E410" s="1">
        <v>6299</v>
      </c>
      <c r="F410" s="1">
        <v>1859</v>
      </c>
      <c r="G410" s="1">
        <v>215077</v>
      </c>
      <c r="H410" s="1">
        <f t="shared" ref="H410:H420" si="343">C410-E410-F410</f>
        <v>19380</v>
      </c>
      <c r="I410" s="1"/>
      <c r="J410" s="1"/>
      <c r="K410" s="21">
        <f t="shared" si="340"/>
        <v>25513.285883748518</v>
      </c>
      <c r="L410" s="21">
        <f t="shared" si="341"/>
        <v>3266.666666666667</v>
      </c>
      <c r="M410" s="31">
        <f t="shared" ref="M410:M420" si="344">(H410-H396)/H396</f>
        <v>3.1674208144796379E-2</v>
      </c>
      <c r="N410" s="31">
        <f t="shared" ref="N410:N420" si="345">F410/(E410+F410)</f>
        <v>0.22787447903898014</v>
      </c>
      <c r="O410" s="43">
        <f t="shared" ref="O410:O418" si="346">F410/D410</f>
        <v>220.52194543297747</v>
      </c>
      <c r="P410" s="49">
        <f t="shared" ref="P410:P420" si="347">F410/C410</f>
        <v>6.7506717989686979E-2</v>
      </c>
      <c r="Q410" s="47">
        <f t="shared" ref="Q410:Q420" si="348">(C410-E410-F410)/D410</f>
        <v>2298.9323843416369</v>
      </c>
      <c r="R410" s="66">
        <f t="shared" ref="R410:R420" si="349">G410/H410</f>
        <v>11.097884416924664</v>
      </c>
      <c r="S410" s="92">
        <f t="shared" si="342"/>
        <v>111.98102016607355</v>
      </c>
      <c r="T410" s="93">
        <f t="shared" ref="T410:T420" si="350">(F410-F396)/D410</f>
        <v>11.625148279952551</v>
      </c>
      <c r="V410" s="98" t="str">
        <f t="shared" ref="V410:V420" si="351">B410</f>
        <v>QC</v>
      </c>
      <c r="W410" s="100">
        <f t="shared" ref="W410:W420" si="352">C410/D410/180+IFERROR((D410*C410*5)/(F410*F410),400)</f>
        <v>18.484018133254697</v>
      </c>
      <c r="X410" s="103">
        <f t="shared" ref="X410:X420" si="353">L410/75000/K410*K$419</f>
        <v>3.7848855710821298E-2</v>
      </c>
    </row>
    <row r="411" spans="2:24" x14ac:dyDescent="0.3">
      <c r="B411" s="5" t="s">
        <v>2</v>
      </c>
      <c r="C411" s="1">
        <v>2112</v>
      </c>
      <c r="D411" s="14">
        <v>5.0199999999999996</v>
      </c>
      <c r="E411" s="1">
        <v>1325</v>
      </c>
      <c r="F411" s="1">
        <v>111</v>
      </c>
      <c r="G411" s="1">
        <v>83425</v>
      </c>
      <c r="H411" s="1">
        <f t="shared" si="343"/>
        <v>676</v>
      </c>
      <c r="I411" s="1"/>
      <c r="J411" s="1"/>
      <c r="K411" s="21">
        <f t="shared" si="340"/>
        <v>16618.525896414343</v>
      </c>
      <c r="L411" s="21">
        <f t="shared" si="341"/>
        <v>420.71713147410361</v>
      </c>
      <c r="M411" s="31">
        <f t="shared" si="344"/>
        <v>4.4576523031203564E-3</v>
      </c>
      <c r="N411" s="31">
        <f t="shared" si="345"/>
        <v>7.7298050139275765E-2</v>
      </c>
      <c r="O411" s="43">
        <f t="shared" si="346"/>
        <v>22.111553784860561</v>
      </c>
      <c r="P411" s="49">
        <f t="shared" si="347"/>
        <v>5.2556818181818184E-2</v>
      </c>
      <c r="Q411" s="47">
        <f t="shared" si="348"/>
        <v>134.66135458167332</v>
      </c>
      <c r="R411" s="66">
        <f t="shared" si="349"/>
        <v>123.40976331360947</v>
      </c>
      <c r="S411" s="92">
        <f t="shared" si="342"/>
        <v>4.9800796812749004</v>
      </c>
      <c r="T411" s="93">
        <f t="shared" si="350"/>
        <v>0.39840637450199207</v>
      </c>
      <c r="V411" s="98" t="str">
        <f t="shared" si="351"/>
        <v>BC</v>
      </c>
      <c r="W411" s="100">
        <f t="shared" si="352"/>
        <v>6.639825310397077</v>
      </c>
      <c r="X411" s="103">
        <f t="shared" si="353"/>
        <v>7.483625169760073E-3</v>
      </c>
    </row>
    <row r="412" spans="2:24" x14ac:dyDescent="0.3">
      <c r="B412" s="5" t="s">
        <v>3</v>
      </c>
      <c r="C412" s="1">
        <v>5355</v>
      </c>
      <c r="D412" s="14">
        <v>4.34</v>
      </c>
      <c r="E412" s="1">
        <v>2161</v>
      </c>
      <c r="F412" s="1">
        <v>89</v>
      </c>
      <c r="G412" s="1">
        <v>148937</v>
      </c>
      <c r="H412" s="1">
        <f t="shared" si="343"/>
        <v>3105</v>
      </c>
      <c r="I412" s="1"/>
      <c r="J412" s="1"/>
      <c r="K412" s="21">
        <f t="shared" si="340"/>
        <v>34317.281105990784</v>
      </c>
      <c r="L412" s="21">
        <f t="shared" si="341"/>
        <v>1233.8709677419356</v>
      </c>
      <c r="M412" s="31">
        <f t="shared" si="344"/>
        <v>-6.4000000000000003E-3</v>
      </c>
      <c r="N412" s="31">
        <f t="shared" si="345"/>
        <v>3.9555555555555552E-2</v>
      </c>
      <c r="O412" s="43">
        <f t="shared" si="346"/>
        <v>20.506912442396313</v>
      </c>
      <c r="P412" s="49">
        <f t="shared" si="347"/>
        <v>1.6619981325863679E-2</v>
      </c>
      <c r="Q412" s="47">
        <f t="shared" si="348"/>
        <v>715.43778801843325</v>
      </c>
      <c r="R412" s="66">
        <f t="shared" si="349"/>
        <v>47.966827697262481</v>
      </c>
      <c r="S412" s="92">
        <f t="shared" si="342"/>
        <v>43.778801843317972</v>
      </c>
      <c r="T412" s="93">
        <f t="shared" si="350"/>
        <v>0.46082949308755761</v>
      </c>
      <c r="V412" s="98" t="str">
        <f t="shared" si="351"/>
        <v>AL</v>
      </c>
      <c r="W412" s="100">
        <f t="shared" si="352"/>
        <v>21.525145489124462</v>
      </c>
      <c r="X412" s="103">
        <f t="shared" si="353"/>
        <v>1.0628481034177096E-2</v>
      </c>
    </row>
    <row r="413" spans="2:24" x14ac:dyDescent="0.3">
      <c r="B413" s="5" t="s">
        <v>4</v>
      </c>
      <c r="C413" s="1">
        <v>275</v>
      </c>
      <c r="D413" s="14">
        <v>1.36</v>
      </c>
      <c r="E413" s="1">
        <v>220</v>
      </c>
      <c r="F413" s="1">
        <v>6</v>
      </c>
      <c r="G413" s="1">
        <v>24824</v>
      </c>
      <c r="H413" s="1">
        <f t="shared" si="343"/>
        <v>49</v>
      </c>
      <c r="I413" s="1"/>
      <c r="J413" s="1"/>
      <c r="K413" s="21">
        <f t="shared" si="340"/>
        <v>18252.941176470587</v>
      </c>
      <c r="L413" s="21">
        <f t="shared" si="341"/>
        <v>202.20588235294116</v>
      </c>
      <c r="M413" s="31">
        <f t="shared" si="344"/>
        <v>-9.2592592592592587E-2</v>
      </c>
      <c r="N413" s="31">
        <f t="shared" si="345"/>
        <v>2.6548672566371681E-2</v>
      </c>
      <c r="O413" s="43">
        <f t="shared" si="346"/>
        <v>4.4117647058823524</v>
      </c>
      <c r="P413" s="49">
        <f t="shared" si="347"/>
        <v>2.181818181818182E-2</v>
      </c>
      <c r="Q413" s="47">
        <f t="shared" si="348"/>
        <v>36.029411764705877</v>
      </c>
      <c r="R413" s="66">
        <f t="shared" si="349"/>
        <v>506.61224489795916</v>
      </c>
      <c r="S413" s="92">
        <f t="shared" si="342"/>
        <v>1.4705882352941175</v>
      </c>
      <c r="T413" s="93">
        <f t="shared" si="350"/>
        <v>0</v>
      </c>
      <c r="V413" s="98" t="str">
        <f t="shared" si="351"/>
        <v>MA</v>
      </c>
      <c r="W413" s="100">
        <f t="shared" si="352"/>
        <v>53.067810457516337</v>
      </c>
      <c r="X413" s="103">
        <f t="shared" si="353"/>
        <v>3.2747282000032E-3</v>
      </c>
    </row>
    <row r="414" spans="2:24" x14ac:dyDescent="0.3">
      <c r="B414" s="5" t="s">
        <v>5</v>
      </c>
      <c r="C414" s="1">
        <v>389</v>
      </c>
      <c r="D414" s="14">
        <v>1.17</v>
      </c>
      <c r="E414" s="1">
        <v>295</v>
      </c>
      <c r="F414" s="1">
        <v>6</v>
      </c>
      <c r="G414" s="1">
        <v>29642</v>
      </c>
      <c r="H414" s="1">
        <f t="shared" si="343"/>
        <v>88</v>
      </c>
      <c r="I414" s="1"/>
      <c r="J414" s="1"/>
      <c r="K414" s="21">
        <f t="shared" si="340"/>
        <v>25335.042735042738</v>
      </c>
      <c r="L414" s="21">
        <f t="shared" si="341"/>
        <v>332.47863247863251</v>
      </c>
      <c r="M414" s="31">
        <f t="shared" si="344"/>
        <v>2.3255813953488372E-2</v>
      </c>
      <c r="N414" s="31">
        <f t="shared" si="345"/>
        <v>1.9933554817275746E-2</v>
      </c>
      <c r="O414" s="43">
        <f t="shared" si="346"/>
        <v>5.1282051282051286</v>
      </c>
      <c r="P414" s="49">
        <f t="shared" si="347"/>
        <v>1.5424164524421594E-2</v>
      </c>
      <c r="Q414" s="47">
        <f t="shared" si="348"/>
        <v>75.213675213675216</v>
      </c>
      <c r="R414" s="66">
        <f t="shared" si="349"/>
        <v>336.84090909090907</v>
      </c>
      <c r="S414" s="92">
        <f t="shared" si="342"/>
        <v>5.1282051282051286</v>
      </c>
      <c r="T414" s="93">
        <f t="shared" si="350"/>
        <v>0</v>
      </c>
      <c r="V414" s="98" t="str">
        <f t="shared" si="351"/>
        <v>SA</v>
      </c>
      <c r="W414" s="100">
        <f t="shared" si="352"/>
        <v>65.059603513770185</v>
      </c>
      <c r="X414" s="103">
        <f t="shared" si="353"/>
        <v>3.8793273369538426E-3</v>
      </c>
    </row>
    <row r="415" spans="2:24" x14ac:dyDescent="0.3">
      <c r="B415" s="5" t="s">
        <v>6</v>
      </c>
      <c r="C415" s="1">
        <v>947</v>
      </c>
      <c r="D415" s="14">
        <v>0.96499999999999997</v>
      </c>
      <c r="E415" s="1">
        <v>545</v>
      </c>
      <c r="F415" s="1">
        <v>28</v>
      </c>
      <c r="G415" s="1">
        <f>28209+C415</f>
        <v>29156</v>
      </c>
      <c r="H415" s="1">
        <f t="shared" si="343"/>
        <v>374</v>
      </c>
      <c r="I415" s="1"/>
      <c r="J415" s="1"/>
      <c r="K415" s="21">
        <f t="shared" si="340"/>
        <v>30213.471502590673</v>
      </c>
      <c r="L415" s="21">
        <f t="shared" si="341"/>
        <v>981.34715025906735</v>
      </c>
      <c r="M415" s="31">
        <f t="shared" si="344"/>
        <v>-1.0582010582010581E-2</v>
      </c>
      <c r="N415" s="31">
        <f t="shared" si="345"/>
        <v>4.8865619546247817E-2</v>
      </c>
      <c r="O415" s="43">
        <f t="shared" si="346"/>
        <v>29.015544041450777</v>
      </c>
      <c r="P415" s="49">
        <f t="shared" si="347"/>
        <v>2.9567053854276663E-2</v>
      </c>
      <c r="Q415" s="47">
        <f t="shared" si="348"/>
        <v>387.56476683937825</v>
      </c>
      <c r="R415" s="66">
        <f t="shared" si="349"/>
        <v>77.957219251336895</v>
      </c>
      <c r="S415" s="92">
        <f t="shared" si="342"/>
        <v>12.435233160621761</v>
      </c>
      <c r="T415" s="93">
        <f t="shared" si="350"/>
        <v>0</v>
      </c>
      <c r="V415" s="98" t="str">
        <f t="shared" si="351"/>
        <v>NS</v>
      </c>
      <c r="W415" s="100">
        <f t="shared" si="352"/>
        <v>11.280085500305475</v>
      </c>
      <c r="X415" s="103">
        <f t="shared" si="353"/>
        <v>9.6014398578835869E-3</v>
      </c>
    </row>
    <row r="416" spans="2:24" x14ac:dyDescent="0.3">
      <c r="B416" s="5" t="s">
        <v>7</v>
      </c>
      <c r="C416" s="1">
        <v>118</v>
      </c>
      <c r="D416" s="14">
        <v>0.77200000000000002</v>
      </c>
      <c r="E416" s="1">
        <v>114</v>
      </c>
      <c r="F416" s="1">
        <v>0</v>
      </c>
      <c r="G416" s="1">
        <v>13699</v>
      </c>
      <c r="H416" s="1">
        <f t="shared" si="343"/>
        <v>4</v>
      </c>
      <c r="I416" s="1"/>
      <c r="J416" s="1"/>
      <c r="K416" s="21">
        <f t="shared" si="340"/>
        <v>17744.818652849739</v>
      </c>
      <c r="L416" s="21">
        <f t="shared" si="341"/>
        <v>152.84974093264248</v>
      </c>
      <c r="M416" s="31">
        <f t="shared" si="344"/>
        <v>0</v>
      </c>
      <c r="N416" s="31">
        <f t="shared" si="345"/>
        <v>0</v>
      </c>
      <c r="O416" s="43">
        <f t="shared" si="346"/>
        <v>0</v>
      </c>
      <c r="P416" s="49">
        <f t="shared" si="347"/>
        <v>0</v>
      </c>
      <c r="Q416" s="47">
        <f t="shared" si="348"/>
        <v>5.1813471502590671</v>
      </c>
      <c r="R416" s="66">
        <f t="shared" si="349"/>
        <v>3424.75</v>
      </c>
      <c r="S416" s="92">
        <f t="shared" si="342"/>
        <v>0</v>
      </c>
      <c r="T416" s="93">
        <f t="shared" si="350"/>
        <v>0</v>
      </c>
      <c r="V416" s="98" t="str">
        <f t="shared" si="351"/>
        <v>NB</v>
      </c>
      <c r="W416" s="100">
        <f t="shared" si="352"/>
        <v>400.84916522740355</v>
      </c>
      <c r="X416" s="103">
        <f t="shared" si="353"/>
        <v>2.5462876878210813E-3</v>
      </c>
    </row>
    <row r="417" spans="2:24" x14ac:dyDescent="0.3">
      <c r="B417" s="5" t="s">
        <v>18</v>
      </c>
      <c r="C417" s="9">
        <v>27</v>
      </c>
      <c r="D417" s="15">
        <v>0.154</v>
      </c>
      <c r="E417" s="9">
        <v>24</v>
      </c>
      <c r="F417" s="9">
        <v>0</v>
      </c>
      <c r="G417" s="9">
        <v>2953</v>
      </c>
      <c r="H417" s="1">
        <f t="shared" si="343"/>
        <v>3</v>
      </c>
      <c r="I417" s="9"/>
      <c r="J417" s="9"/>
      <c r="K417" s="22">
        <f t="shared" si="340"/>
        <v>19175.324675324675</v>
      </c>
      <c r="L417" s="22">
        <f t="shared" si="341"/>
        <v>175.32467532467533</v>
      </c>
      <c r="M417" s="31">
        <f t="shared" si="344"/>
        <v>0</v>
      </c>
      <c r="N417" s="31">
        <f t="shared" si="345"/>
        <v>0</v>
      </c>
      <c r="O417" s="44">
        <f t="shared" si="346"/>
        <v>0</v>
      </c>
      <c r="P417" s="49">
        <f t="shared" si="347"/>
        <v>0</v>
      </c>
      <c r="Q417" s="47">
        <f t="shared" si="348"/>
        <v>19.480519480519479</v>
      </c>
      <c r="R417" s="66">
        <f t="shared" si="349"/>
        <v>984.33333333333337</v>
      </c>
      <c r="S417" s="92">
        <f t="shared" si="342"/>
        <v>0</v>
      </c>
      <c r="T417" s="93">
        <f t="shared" si="350"/>
        <v>0</v>
      </c>
      <c r="V417" s="98" t="str">
        <f t="shared" si="351"/>
        <v>PEI</v>
      </c>
      <c r="W417" s="100">
        <f t="shared" si="352"/>
        <v>400.97402597402595</v>
      </c>
      <c r="X417" s="103">
        <f t="shared" si="353"/>
        <v>2.7028045766656337E-3</v>
      </c>
    </row>
    <row r="418" spans="2:24" ht="15" thickBot="1" x14ac:dyDescent="0.35">
      <c r="B418" s="5" t="s">
        <v>11</v>
      </c>
      <c r="C418" s="9">
        <v>258</v>
      </c>
      <c r="D418" s="15">
        <v>0.52400000000000002</v>
      </c>
      <c r="E418" s="9">
        <v>225</v>
      </c>
      <c r="F418" s="9">
        <v>3</v>
      </c>
      <c r="G418" s="9">
        <v>8376</v>
      </c>
      <c r="H418" s="9">
        <f t="shared" si="343"/>
        <v>30</v>
      </c>
      <c r="I418" s="9"/>
      <c r="J418" s="9"/>
      <c r="K418" s="22">
        <f t="shared" si="340"/>
        <v>15984.732824427479</v>
      </c>
      <c r="L418" s="22">
        <f t="shared" si="341"/>
        <v>492.36641221374043</v>
      </c>
      <c r="M418" s="31">
        <f t="shared" si="344"/>
        <v>-9.0909090909090912E-2</v>
      </c>
      <c r="N418" s="32">
        <f t="shared" si="345"/>
        <v>1.3157894736842105E-2</v>
      </c>
      <c r="O418" s="44">
        <f t="shared" si="346"/>
        <v>5.7251908396946565</v>
      </c>
      <c r="P418" s="50">
        <f t="shared" si="347"/>
        <v>1.1627906976744186E-2</v>
      </c>
      <c r="Q418" s="48">
        <f t="shared" si="348"/>
        <v>57.251908396946561</v>
      </c>
      <c r="R418" s="67">
        <f t="shared" si="349"/>
        <v>279.2</v>
      </c>
      <c r="S418" s="92">
        <f t="shared" si="342"/>
        <v>0</v>
      </c>
      <c r="T418" s="93">
        <f t="shared" si="350"/>
        <v>0</v>
      </c>
      <c r="V418" s="99" t="str">
        <f t="shared" si="351"/>
        <v>NFLD</v>
      </c>
      <c r="W418" s="107">
        <f t="shared" si="352"/>
        <v>77.842035623409672</v>
      </c>
      <c r="X418" s="103">
        <f t="shared" si="353"/>
        <v>9.1053651262980352E-3</v>
      </c>
    </row>
    <row r="419" spans="2:24" ht="15" thickBot="1" x14ac:dyDescent="0.35">
      <c r="B419" s="11" t="s">
        <v>10</v>
      </c>
      <c r="C419" s="12">
        <v>53236</v>
      </c>
      <c r="D419" s="16">
        <v>37.6</v>
      </c>
      <c r="E419" s="12">
        <v>21423</v>
      </c>
      <c r="F419" s="12">
        <v>3184</v>
      </c>
      <c r="G419" s="12">
        <f>SUM(G409:G418)</f>
        <v>833611</v>
      </c>
      <c r="H419" s="81">
        <f t="shared" si="343"/>
        <v>28629</v>
      </c>
      <c r="I419" s="111"/>
      <c r="J419" s="111"/>
      <c r="K419" s="77">
        <f t="shared" si="340"/>
        <v>22170.505319148935</v>
      </c>
      <c r="L419" s="23">
        <f t="shared" si="341"/>
        <v>1415.8510638297871</v>
      </c>
      <c r="M419" s="31">
        <f t="shared" si="344"/>
        <v>1.255570488788286E-2</v>
      </c>
      <c r="N419" s="33">
        <f t="shared" si="345"/>
        <v>0.12939407485674809</v>
      </c>
      <c r="O419" s="45">
        <f>F419/D419</f>
        <v>84.680851063829778</v>
      </c>
      <c r="P419" s="53">
        <f t="shared" si="347"/>
        <v>5.9809151701855884E-2</v>
      </c>
      <c r="Q419" s="55">
        <f t="shared" si="348"/>
        <v>761.40957446808511</v>
      </c>
      <c r="R419" s="74">
        <f t="shared" si="349"/>
        <v>29.117712808690488</v>
      </c>
      <c r="S419" s="92">
        <f t="shared" si="342"/>
        <v>43.590425531914889</v>
      </c>
      <c r="T419" s="93">
        <f t="shared" si="350"/>
        <v>5</v>
      </c>
      <c r="V419" s="108" t="str">
        <f t="shared" si="351"/>
        <v>Canada</v>
      </c>
      <c r="W419" s="109">
        <f t="shared" si="352"/>
        <v>8.8530665231129682</v>
      </c>
      <c r="X419" s="103">
        <f t="shared" si="353"/>
        <v>1.8878014184397163E-2</v>
      </c>
    </row>
    <row r="420" spans="2:24" ht="15" thickBot="1" x14ac:dyDescent="0.35">
      <c r="B420" s="6" t="s">
        <v>9</v>
      </c>
      <c r="C420" s="7">
        <v>1079790</v>
      </c>
      <c r="D420" s="7">
        <v>327</v>
      </c>
      <c r="E420" s="7">
        <v>149686</v>
      </c>
      <c r="F420" s="7">
        <v>62670</v>
      </c>
      <c r="G420" s="7">
        <v>6217075</v>
      </c>
      <c r="H420" s="82">
        <f t="shared" si="343"/>
        <v>867434</v>
      </c>
      <c r="I420" s="112"/>
      <c r="J420" s="112"/>
      <c r="K420" s="78">
        <f t="shared" si="340"/>
        <v>19012.461773700306</v>
      </c>
      <c r="L420" s="24">
        <f t="shared" si="341"/>
        <v>3302.1100917431195</v>
      </c>
      <c r="M420" s="31">
        <f t="shared" si="344"/>
        <v>2.7302873114000804E-2</v>
      </c>
      <c r="N420" s="33">
        <f t="shared" si="345"/>
        <v>0.29511763265459889</v>
      </c>
      <c r="O420" s="46">
        <f>F420/D420</f>
        <v>191.651376146789</v>
      </c>
      <c r="P420" s="52">
        <f t="shared" si="347"/>
        <v>5.8039063151168281E-2</v>
      </c>
      <c r="Q420" s="54">
        <f t="shared" si="348"/>
        <v>2652.7033639143733</v>
      </c>
      <c r="R420" s="72">
        <f t="shared" si="349"/>
        <v>7.1672023462303764</v>
      </c>
      <c r="S420" s="92">
        <f t="shared" si="342"/>
        <v>92.840978593272169</v>
      </c>
      <c r="T420" s="93">
        <f t="shared" si="350"/>
        <v>6.2079510703363914</v>
      </c>
      <c r="V420" s="108" t="str">
        <f t="shared" si="351"/>
        <v>USA</v>
      </c>
      <c r="W420" s="109">
        <f t="shared" si="352"/>
        <v>18.79456431710754</v>
      </c>
      <c r="X420" s="103">
        <f t="shared" si="353"/>
        <v>5.1341378249554821E-2</v>
      </c>
    </row>
    <row r="421" spans="2:24" ht="15" thickBot="1" x14ac:dyDescent="0.35"/>
    <row r="422" spans="2:24" ht="29.4" thickBot="1" x14ac:dyDescent="0.35">
      <c r="B422" s="96">
        <v>37012</v>
      </c>
      <c r="C422" s="18" t="s">
        <v>8</v>
      </c>
      <c r="D422" s="19" t="s">
        <v>17</v>
      </c>
      <c r="E422" s="19" t="s">
        <v>15</v>
      </c>
      <c r="F422" s="19" t="s">
        <v>16</v>
      </c>
      <c r="G422" s="19" t="s">
        <v>14</v>
      </c>
      <c r="H422" s="19" t="s">
        <v>38</v>
      </c>
      <c r="I422" s="19"/>
      <c r="J422" s="19"/>
      <c r="K422" s="19" t="s">
        <v>21</v>
      </c>
      <c r="L422" s="19" t="s">
        <v>20</v>
      </c>
      <c r="M422" s="19" t="s">
        <v>40</v>
      </c>
      <c r="N422" s="19" t="s">
        <v>32</v>
      </c>
      <c r="O422" s="19" t="s">
        <v>22</v>
      </c>
      <c r="P422" s="51" t="s">
        <v>34</v>
      </c>
      <c r="Q422" s="20" t="s">
        <v>35</v>
      </c>
      <c r="R422" s="63" t="s">
        <v>39</v>
      </c>
      <c r="S422" s="91" t="s">
        <v>43</v>
      </c>
      <c r="T422" s="91" t="s">
        <v>44</v>
      </c>
      <c r="V422" s="104" t="s">
        <v>48</v>
      </c>
      <c r="W422" s="105" t="s">
        <v>49</v>
      </c>
      <c r="X422" s="106" t="s">
        <v>50</v>
      </c>
    </row>
    <row r="423" spans="2:24" x14ac:dyDescent="0.3">
      <c r="B423" s="3" t="s">
        <v>0</v>
      </c>
      <c r="C423" s="1">
        <v>16608</v>
      </c>
      <c r="D423" s="14">
        <v>14.45</v>
      </c>
      <c r="E423" s="1">
        <v>10825</v>
      </c>
      <c r="F423" s="1">
        <v>1121</v>
      </c>
      <c r="G423" s="1">
        <v>294054</v>
      </c>
      <c r="H423" s="1">
        <f>C423-E423-F423</f>
        <v>4662</v>
      </c>
      <c r="I423" s="1"/>
      <c r="J423" s="1"/>
      <c r="K423" s="21">
        <f t="shared" ref="K423:K434" si="354">G423/D423</f>
        <v>20349.757785467129</v>
      </c>
      <c r="L423" s="21">
        <f t="shared" ref="L423:L434" si="355">C423/D423</f>
        <v>1149.3425605536333</v>
      </c>
      <c r="M423" s="31">
        <f>(H423-H409)/H409</f>
        <v>-4.8571428571428571E-2</v>
      </c>
      <c r="N423" s="31">
        <f>F423/(E423+F423)</f>
        <v>9.3838941905240253E-2</v>
      </c>
      <c r="O423" s="43">
        <f>F423/D423</f>
        <v>77.577854671280278</v>
      </c>
      <c r="P423" s="49">
        <f>F423/C423</f>
        <v>6.7497591522157993E-2</v>
      </c>
      <c r="Q423" s="47">
        <f>(C423-E423-F423)/D423</f>
        <v>322.62975778546712</v>
      </c>
      <c r="R423" s="66">
        <f>G423/H423</f>
        <v>63.074646074646076</v>
      </c>
      <c r="S423" s="92">
        <f t="shared" ref="S423:S434" si="356">(C423-C409)/D423</f>
        <v>29.134948096885815</v>
      </c>
      <c r="T423" s="93">
        <f>(F423-F409)/D423</f>
        <v>2.698961937716263</v>
      </c>
      <c r="V423" s="101" t="str">
        <f>B423</f>
        <v>ON</v>
      </c>
      <c r="W423" s="102">
        <f>C423/D423/180+IFERROR((D423*C423*5)/(F423*F423),400)</f>
        <v>7.3401058175311906</v>
      </c>
      <c r="X423" s="103">
        <f>L423/75000/K423*K$433</f>
        <v>1.7348816145941644E-2</v>
      </c>
    </row>
    <row r="424" spans="2:24" x14ac:dyDescent="0.3">
      <c r="B424" s="5" t="s">
        <v>1</v>
      </c>
      <c r="C424" s="1">
        <v>28648</v>
      </c>
      <c r="D424" s="14">
        <v>8.43</v>
      </c>
      <c r="E424" s="1">
        <v>6700</v>
      </c>
      <c r="F424" s="1">
        <v>2022</v>
      </c>
      <c r="G424" s="1">
        <v>220421</v>
      </c>
      <c r="H424" s="1">
        <f t="shared" ref="H424:H434" si="357">C424-E424-F424</f>
        <v>19926</v>
      </c>
      <c r="I424" s="1"/>
      <c r="J424" s="1"/>
      <c r="K424" s="21">
        <f t="shared" si="354"/>
        <v>26147.212336892055</v>
      </c>
      <c r="L424" s="21">
        <f t="shared" si="355"/>
        <v>3398.3392645314357</v>
      </c>
      <c r="M424" s="31">
        <f t="shared" ref="M424:M434" si="358">(H424-H410)/H410</f>
        <v>2.8173374613003097E-2</v>
      </c>
      <c r="N424" s="31">
        <f t="shared" ref="N424:N434" si="359">F424/(E424+F424)</f>
        <v>0.23182756248566844</v>
      </c>
      <c r="O424" s="43">
        <f t="shared" ref="O424:O432" si="360">F424/D424</f>
        <v>239.85765124555161</v>
      </c>
      <c r="P424" s="49">
        <f t="shared" ref="P424:P434" si="361">F424/C424</f>
        <v>7.0580843339849209E-2</v>
      </c>
      <c r="Q424" s="47">
        <f t="shared" ref="Q424:Q434" si="362">(C424-E424-F424)/D424</f>
        <v>2363.7010676156583</v>
      </c>
      <c r="R424" s="66">
        <f t="shared" ref="R424:R434" si="363">G424/H424</f>
        <v>11.061979323496939</v>
      </c>
      <c r="S424" s="92">
        <f t="shared" si="356"/>
        <v>131.67259786476868</v>
      </c>
      <c r="T424" s="93">
        <f t="shared" ref="T424:T434" si="364">(F424-F410)/D424</f>
        <v>19.33570581257414</v>
      </c>
      <c r="V424" s="98" t="str">
        <f t="shared" ref="V424:V434" si="365">B424</f>
        <v>QC</v>
      </c>
      <c r="W424" s="100">
        <f t="shared" ref="W424:W434" si="366">C424/D424/180+IFERROR((D424*C424*5)/(F424*F424),400)</f>
        <v>19.175007554564019</v>
      </c>
      <c r="X424" s="103">
        <f t="shared" ref="X424:X434" si="367">L424/75000/K424*K$433</f>
        <v>3.9922795079345416E-2</v>
      </c>
    </row>
    <row r="425" spans="2:24" x14ac:dyDescent="0.3">
      <c r="B425" s="5" t="s">
        <v>2</v>
      </c>
      <c r="C425" s="1">
        <v>2112</v>
      </c>
      <c r="D425" s="14">
        <v>5.0199999999999996</v>
      </c>
      <c r="E425" s="1">
        <v>1322</v>
      </c>
      <c r="F425" s="1">
        <v>111</v>
      </c>
      <c r="G425" s="1">
        <v>86030</v>
      </c>
      <c r="H425" s="1">
        <f t="shared" si="357"/>
        <v>679</v>
      </c>
      <c r="I425" s="1"/>
      <c r="J425" s="1"/>
      <c r="K425" s="21">
        <f t="shared" si="354"/>
        <v>17137.450199203187</v>
      </c>
      <c r="L425" s="21">
        <f t="shared" si="355"/>
        <v>420.71713147410361</v>
      </c>
      <c r="M425" s="31">
        <f t="shared" si="358"/>
        <v>4.4378698224852072E-3</v>
      </c>
      <c r="N425" s="31">
        <f t="shared" si="359"/>
        <v>7.7459874389392877E-2</v>
      </c>
      <c r="O425" s="43">
        <f t="shared" si="360"/>
        <v>22.111553784860561</v>
      </c>
      <c r="P425" s="49">
        <f t="shared" si="361"/>
        <v>5.2556818181818184E-2</v>
      </c>
      <c r="Q425" s="47">
        <f t="shared" si="362"/>
        <v>135.25896414342631</v>
      </c>
      <c r="R425" s="66">
        <f t="shared" si="363"/>
        <v>126.70103092783505</v>
      </c>
      <c r="S425" s="92">
        <f t="shared" si="356"/>
        <v>0</v>
      </c>
      <c r="T425" s="93">
        <f t="shared" si="364"/>
        <v>0</v>
      </c>
      <c r="V425" s="98" t="str">
        <f t="shared" si="365"/>
        <v>BC</v>
      </c>
      <c r="W425" s="100">
        <f t="shared" si="366"/>
        <v>6.639825310397077</v>
      </c>
      <c r="X425" s="103">
        <f t="shared" si="367"/>
        <v>7.5409071056360853E-3</v>
      </c>
    </row>
    <row r="426" spans="2:24" x14ac:dyDescent="0.3">
      <c r="B426" s="5" t="s">
        <v>3</v>
      </c>
      <c r="C426" s="1">
        <v>5573</v>
      </c>
      <c r="D426" s="14">
        <v>4.34</v>
      </c>
      <c r="E426" s="1">
        <v>2359</v>
      </c>
      <c r="F426" s="1">
        <v>92</v>
      </c>
      <c r="G426" s="1">
        <v>153766</v>
      </c>
      <c r="H426" s="1">
        <f t="shared" si="357"/>
        <v>3122</v>
      </c>
      <c r="I426" s="1"/>
      <c r="J426" s="1"/>
      <c r="K426" s="21">
        <f t="shared" si="354"/>
        <v>35429.953917050691</v>
      </c>
      <c r="L426" s="21">
        <f t="shared" si="355"/>
        <v>1284.1013824884792</v>
      </c>
      <c r="M426" s="31">
        <f t="shared" si="358"/>
        <v>5.475040257648953E-3</v>
      </c>
      <c r="N426" s="31">
        <f t="shared" si="359"/>
        <v>3.7535699714402286E-2</v>
      </c>
      <c r="O426" s="43">
        <f t="shared" si="360"/>
        <v>21.198156682027651</v>
      </c>
      <c r="P426" s="49">
        <f t="shared" si="361"/>
        <v>1.6508164363897362E-2</v>
      </c>
      <c r="Q426" s="47">
        <f t="shared" si="362"/>
        <v>719.35483870967744</v>
      </c>
      <c r="R426" s="66">
        <f t="shared" si="363"/>
        <v>49.252402306213966</v>
      </c>
      <c r="S426" s="92">
        <f t="shared" si="356"/>
        <v>50.230414746543779</v>
      </c>
      <c r="T426" s="93">
        <f t="shared" si="364"/>
        <v>0.69124423963133641</v>
      </c>
      <c r="V426" s="98" t="str">
        <f t="shared" si="365"/>
        <v>AL</v>
      </c>
      <c r="W426" s="100">
        <f t="shared" si="366"/>
        <v>21.421951862386109</v>
      </c>
      <c r="X426" s="103">
        <f t="shared" si="367"/>
        <v>1.1132900459046963E-2</v>
      </c>
    </row>
    <row r="427" spans="2:24" x14ac:dyDescent="0.3">
      <c r="B427" s="5" t="s">
        <v>4</v>
      </c>
      <c r="C427" s="1">
        <v>279</v>
      </c>
      <c r="D427" s="14">
        <v>1.36</v>
      </c>
      <c r="E427" s="1">
        <v>235</v>
      </c>
      <c r="F427" s="1">
        <v>6</v>
      </c>
      <c r="G427" s="1">
        <v>25502</v>
      </c>
      <c r="H427" s="1">
        <f t="shared" si="357"/>
        <v>38</v>
      </c>
      <c r="I427" s="1"/>
      <c r="J427" s="1"/>
      <c r="K427" s="21">
        <f t="shared" si="354"/>
        <v>18751.470588235294</v>
      </c>
      <c r="L427" s="21">
        <f t="shared" si="355"/>
        <v>205.14705882352939</v>
      </c>
      <c r="M427" s="31">
        <f t="shared" si="358"/>
        <v>-0.22448979591836735</v>
      </c>
      <c r="N427" s="31">
        <f t="shared" si="359"/>
        <v>2.4896265560165973E-2</v>
      </c>
      <c r="O427" s="43">
        <f t="shared" si="360"/>
        <v>4.4117647058823524</v>
      </c>
      <c r="P427" s="49">
        <f t="shared" si="361"/>
        <v>2.1505376344086023E-2</v>
      </c>
      <c r="Q427" s="47">
        <f t="shared" si="362"/>
        <v>27.941176470588232</v>
      </c>
      <c r="R427" s="66">
        <f t="shared" si="363"/>
        <v>671.10526315789468</v>
      </c>
      <c r="S427" s="92">
        <f t="shared" si="356"/>
        <v>2.9411764705882351</v>
      </c>
      <c r="T427" s="93">
        <f t="shared" si="364"/>
        <v>0</v>
      </c>
      <c r="V427" s="98" t="str">
        <f t="shared" si="365"/>
        <v>MA</v>
      </c>
      <c r="W427" s="100">
        <f t="shared" si="366"/>
        <v>53.839705882352952</v>
      </c>
      <c r="X427" s="103">
        <f t="shared" si="367"/>
        <v>3.360543812166588E-3</v>
      </c>
    </row>
    <row r="428" spans="2:24" x14ac:dyDescent="0.3">
      <c r="B428" s="5" t="s">
        <v>5</v>
      </c>
      <c r="C428" s="1">
        <v>415</v>
      </c>
      <c r="D428" s="14">
        <v>1.17</v>
      </c>
      <c r="E428" s="1">
        <v>297</v>
      </c>
      <c r="F428" s="1">
        <v>6</v>
      </c>
      <c r="G428" s="1">
        <v>30357</v>
      </c>
      <c r="H428" s="1">
        <f t="shared" si="357"/>
        <v>112</v>
      </c>
      <c r="I428" s="1"/>
      <c r="J428" s="1"/>
      <c r="K428" s="21">
        <f t="shared" si="354"/>
        <v>25946.153846153848</v>
      </c>
      <c r="L428" s="21">
        <f t="shared" si="355"/>
        <v>354.70085470085473</v>
      </c>
      <c r="M428" s="31">
        <f t="shared" si="358"/>
        <v>0.27272727272727271</v>
      </c>
      <c r="N428" s="31">
        <f t="shared" si="359"/>
        <v>1.9801980198019802E-2</v>
      </c>
      <c r="O428" s="43">
        <f t="shared" si="360"/>
        <v>5.1282051282051286</v>
      </c>
      <c r="P428" s="49">
        <f t="shared" si="361"/>
        <v>1.4457831325301205E-2</v>
      </c>
      <c r="Q428" s="47">
        <f t="shared" si="362"/>
        <v>95.726495726495727</v>
      </c>
      <c r="R428" s="66">
        <f t="shared" si="363"/>
        <v>271.04464285714283</v>
      </c>
      <c r="S428" s="92">
        <f t="shared" si="356"/>
        <v>22.222222222222225</v>
      </c>
      <c r="T428" s="93">
        <f t="shared" si="364"/>
        <v>0</v>
      </c>
      <c r="V428" s="98" t="str">
        <f t="shared" si="365"/>
        <v>SA</v>
      </c>
      <c r="W428" s="100">
        <f t="shared" si="366"/>
        <v>69.408060303893635</v>
      </c>
      <c r="X428" s="103">
        <f t="shared" si="367"/>
        <v>4.199222105642616E-3</v>
      </c>
    </row>
    <row r="429" spans="2:24" x14ac:dyDescent="0.3">
      <c r="B429" s="5" t="s">
        <v>6</v>
      </c>
      <c r="C429" s="1">
        <v>959</v>
      </c>
      <c r="D429" s="14">
        <v>0.96499999999999997</v>
      </c>
      <c r="E429" s="1">
        <v>592</v>
      </c>
      <c r="F429" s="1">
        <v>29</v>
      </c>
      <c r="G429" s="1">
        <f>28883+C429</f>
        <v>29842</v>
      </c>
      <c r="H429" s="1">
        <f t="shared" si="357"/>
        <v>338</v>
      </c>
      <c r="I429" s="1"/>
      <c r="J429" s="1"/>
      <c r="K429" s="21">
        <f t="shared" si="354"/>
        <v>30924.35233160622</v>
      </c>
      <c r="L429" s="21">
        <f t="shared" si="355"/>
        <v>993.78238341968915</v>
      </c>
      <c r="M429" s="31">
        <f t="shared" si="358"/>
        <v>-9.6256684491978606E-2</v>
      </c>
      <c r="N429" s="31">
        <f t="shared" si="359"/>
        <v>4.6698872785829307E-2</v>
      </c>
      <c r="O429" s="43">
        <f t="shared" si="360"/>
        <v>30.051813471502591</v>
      </c>
      <c r="P429" s="49">
        <f t="shared" si="361"/>
        <v>3.023983315954119E-2</v>
      </c>
      <c r="Q429" s="47">
        <f t="shared" si="362"/>
        <v>350.25906735751295</v>
      </c>
      <c r="R429" s="66">
        <f t="shared" si="363"/>
        <v>88.289940828402365</v>
      </c>
      <c r="S429" s="92">
        <f t="shared" si="356"/>
        <v>12.435233160621761</v>
      </c>
      <c r="T429" s="93">
        <f t="shared" si="364"/>
        <v>1.0362694300518136</v>
      </c>
      <c r="V429" s="98" t="str">
        <f t="shared" si="365"/>
        <v>NS</v>
      </c>
      <c r="W429" s="100">
        <f t="shared" si="366"/>
        <v>11.023004917795999</v>
      </c>
      <c r="X429" s="103">
        <f t="shared" si="367"/>
        <v>9.8712074965979207E-3</v>
      </c>
    </row>
    <row r="430" spans="2:24" x14ac:dyDescent="0.3">
      <c r="B430" s="5" t="s">
        <v>7</v>
      </c>
      <c r="C430" s="1">
        <v>118</v>
      </c>
      <c r="D430" s="14">
        <v>0.77200000000000002</v>
      </c>
      <c r="E430" s="1">
        <v>116</v>
      </c>
      <c r="F430" s="1">
        <v>0</v>
      </c>
      <c r="G430" s="1">
        <v>14642</v>
      </c>
      <c r="H430" s="1">
        <f t="shared" si="357"/>
        <v>2</v>
      </c>
      <c r="I430" s="1"/>
      <c r="J430" s="1"/>
      <c r="K430" s="21">
        <f t="shared" si="354"/>
        <v>18966.321243523314</v>
      </c>
      <c r="L430" s="21">
        <f t="shared" si="355"/>
        <v>152.84974093264248</v>
      </c>
      <c r="M430" s="31">
        <f t="shared" si="358"/>
        <v>-0.5</v>
      </c>
      <c r="N430" s="31">
        <f t="shared" si="359"/>
        <v>0</v>
      </c>
      <c r="O430" s="43">
        <f t="shared" si="360"/>
        <v>0</v>
      </c>
      <c r="P430" s="49">
        <f t="shared" si="361"/>
        <v>0</v>
      </c>
      <c r="Q430" s="47">
        <f t="shared" si="362"/>
        <v>2.5906735751295336</v>
      </c>
      <c r="R430" s="66">
        <f t="shared" si="363"/>
        <v>7321</v>
      </c>
      <c r="S430" s="92">
        <f t="shared" si="356"/>
        <v>0</v>
      </c>
      <c r="T430" s="93">
        <f t="shared" si="364"/>
        <v>0</v>
      </c>
      <c r="V430" s="98" t="str">
        <f t="shared" si="365"/>
        <v>NB</v>
      </c>
      <c r="W430" s="100">
        <f t="shared" si="366"/>
        <v>400.84916522740355</v>
      </c>
      <c r="X430" s="103">
        <f t="shared" si="367"/>
        <v>2.4754901618873524E-3</v>
      </c>
    </row>
    <row r="431" spans="2:24" x14ac:dyDescent="0.3">
      <c r="B431" s="5" t="s">
        <v>18</v>
      </c>
      <c r="C431" s="9">
        <v>27</v>
      </c>
      <c r="D431" s="15">
        <v>0.154</v>
      </c>
      <c r="E431" s="9">
        <v>24</v>
      </c>
      <c r="F431" s="9">
        <v>0</v>
      </c>
      <c r="G431" s="9">
        <v>3055</v>
      </c>
      <c r="H431" s="1">
        <f t="shared" si="357"/>
        <v>3</v>
      </c>
      <c r="I431" s="9"/>
      <c r="J431" s="9"/>
      <c r="K431" s="22">
        <f t="shared" si="354"/>
        <v>19837.662337662339</v>
      </c>
      <c r="L431" s="22">
        <f t="shared" si="355"/>
        <v>175.32467532467533</v>
      </c>
      <c r="M431" s="31">
        <f t="shared" si="358"/>
        <v>0</v>
      </c>
      <c r="N431" s="31">
        <f t="shared" si="359"/>
        <v>0</v>
      </c>
      <c r="O431" s="44">
        <f t="shared" si="360"/>
        <v>0</v>
      </c>
      <c r="P431" s="49">
        <f t="shared" si="361"/>
        <v>0</v>
      </c>
      <c r="Q431" s="47">
        <f t="shared" si="362"/>
        <v>19.480519480519479</v>
      </c>
      <c r="R431" s="66">
        <f t="shared" si="363"/>
        <v>1018.3333333333334</v>
      </c>
      <c r="S431" s="92">
        <f t="shared" si="356"/>
        <v>0</v>
      </c>
      <c r="T431" s="93">
        <f t="shared" si="364"/>
        <v>0</v>
      </c>
      <c r="V431" s="98" t="str">
        <f t="shared" si="365"/>
        <v>PEI</v>
      </c>
      <c r="W431" s="100">
        <f t="shared" si="366"/>
        <v>400.97402597402595</v>
      </c>
      <c r="X431" s="103">
        <f t="shared" si="367"/>
        <v>2.714764425253334E-3</v>
      </c>
    </row>
    <row r="432" spans="2:24" ht="15" thickBot="1" x14ac:dyDescent="0.35">
      <c r="B432" s="5" t="s">
        <v>11</v>
      </c>
      <c r="C432" s="9">
        <v>259</v>
      </c>
      <c r="D432" s="15">
        <v>0.52400000000000002</v>
      </c>
      <c r="E432" s="9">
        <v>230</v>
      </c>
      <c r="F432" s="9">
        <v>3</v>
      </c>
      <c r="G432" s="9">
        <v>8552</v>
      </c>
      <c r="H432" s="9">
        <f t="shared" si="357"/>
        <v>26</v>
      </c>
      <c r="I432" s="9"/>
      <c r="J432" s="9"/>
      <c r="K432" s="22">
        <f t="shared" si="354"/>
        <v>16320.6106870229</v>
      </c>
      <c r="L432" s="22">
        <f t="shared" si="355"/>
        <v>494.27480916030532</v>
      </c>
      <c r="M432" s="31">
        <f t="shared" si="358"/>
        <v>-0.13333333333333333</v>
      </c>
      <c r="N432" s="32">
        <f t="shared" si="359"/>
        <v>1.2875536480686695E-2</v>
      </c>
      <c r="O432" s="44">
        <f t="shared" si="360"/>
        <v>5.7251908396946565</v>
      </c>
      <c r="P432" s="50">
        <f t="shared" si="361"/>
        <v>1.1583011583011582E-2</v>
      </c>
      <c r="Q432" s="48">
        <f t="shared" si="362"/>
        <v>49.618320610687022</v>
      </c>
      <c r="R432" s="67">
        <f t="shared" si="363"/>
        <v>328.92307692307691</v>
      </c>
      <c r="S432" s="92">
        <f t="shared" si="356"/>
        <v>1.9083969465648853</v>
      </c>
      <c r="T432" s="93">
        <f t="shared" si="364"/>
        <v>0</v>
      </c>
      <c r="V432" s="99" t="str">
        <f t="shared" si="365"/>
        <v>NFLD</v>
      </c>
      <c r="W432" s="107">
        <f t="shared" si="366"/>
        <v>78.143748939779471</v>
      </c>
      <c r="X432" s="103">
        <f t="shared" si="367"/>
        <v>9.3027568931658804E-3</v>
      </c>
    </row>
    <row r="433" spans="2:24" ht="15" thickBot="1" x14ac:dyDescent="0.35">
      <c r="B433" s="11" t="s">
        <v>10</v>
      </c>
      <c r="C433" s="12">
        <v>55061</v>
      </c>
      <c r="D433" s="16">
        <v>37.6</v>
      </c>
      <c r="E433" s="12">
        <v>22751</v>
      </c>
      <c r="F433" s="12">
        <v>3391</v>
      </c>
      <c r="G433" s="12">
        <f>SUM(G423:G432)</f>
        <v>866221</v>
      </c>
      <c r="H433" s="81">
        <f t="shared" si="357"/>
        <v>28919</v>
      </c>
      <c r="I433" s="111"/>
      <c r="J433" s="111"/>
      <c r="K433" s="77">
        <f t="shared" si="354"/>
        <v>23037.792553191488</v>
      </c>
      <c r="L433" s="23">
        <f t="shared" si="355"/>
        <v>1464.3882978723404</v>
      </c>
      <c r="M433" s="31">
        <f t="shared" si="358"/>
        <v>1.0129588878410005E-2</v>
      </c>
      <c r="N433" s="33">
        <f t="shared" si="359"/>
        <v>0.12971463545252851</v>
      </c>
      <c r="O433" s="45">
        <f>F433/D433</f>
        <v>90.186170212765958</v>
      </c>
      <c r="P433" s="53">
        <f t="shared" si="361"/>
        <v>6.1586240714843539E-2</v>
      </c>
      <c r="Q433" s="55">
        <f t="shared" si="362"/>
        <v>769.12234042553189</v>
      </c>
      <c r="R433" s="74">
        <f t="shared" si="363"/>
        <v>29.953352467236073</v>
      </c>
      <c r="S433" s="92">
        <f t="shared" si="356"/>
        <v>48.537234042553187</v>
      </c>
      <c r="T433" s="93">
        <f t="shared" si="364"/>
        <v>5.5053191489361701</v>
      </c>
      <c r="V433" s="108" t="str">
        <f t="shared" si="365"/>
        <v>Canada</v>
      </c>
      <c r="W433" s="109">
        <f t="shared" si="366"/>
        <v>9.035705790766654</v>
      </c>
      <c r="X433" s="103">
        <f t="shared" si="367"/>
        <v>1.9525177304964541E-2</v>
      </c>
    </row>
    <row r="434" spans="2:24" ht="15" thickBot="1" x14ac:dyDescent="0.35">
      <c r="B434" s="6" t="s">
        <v>9</v>
      </c>
      <c r="C434" s="7">
        <v>1115821</v>
      </c>
      <c r="D434" s="7">
        <v>327</v>
      </c>
      <c r="E434" s="7">
        <v>158287</v>
      </c>
      <c r="F434" s="7">
        <v>65029</v>
      </c>
      <c r="G434" s="7">
        <v>6571383</v>
      </c>
      <c r="H434" s="82">
        <f t="shared" si="357"/>
        <v>892505</v>
      </c>
      <c r="I434" s="112"/>
      <c r="J434" s="112"/>
      <c r="K434" s="78">
        <f t="shared" si="354"/>
        <v>20095.972477064221</v>
      </c>
      <c r="L434" s="24">
        <f t="shared" si="355"/>
        <v>3412.2966360856267</v>
      </c>
      <c r="M434" s="31">
        <f t="shared" si="358"/>
        <v>2.8902487105647232E-2</v>
      </c>
      <c r="N434" s="33">
        <f t="shared" si="359"/>
        <v>0.29119722724748787</v>
      </c>
      <c r="O434" s="46">
        <f>F434/D434</f>
        <v>198.86544342507645</v>
      </c>
      <c r="P434" s="52">
        <f t="shared" si="361"/>
        <v>5.8279060888798473E-2</v>
      </c>
      <c r="Q434" s="54">
        <f t="shared" si="362"/>
        <v>2729.3730886850153</v>
      </c>
      <c r="R434" s="72">
        <f t="shared" si="363"/>
        <v>7.3628528691716015</v>
      </c>
      <c r="S434" s="92">
        <f t="shared" si="356"/>
        <v>110.18654434250764</v>
      </c>
      <c r="T434" s="93">
        <f t="shared" si="364"/>
        <v>7.2140672782874615</v>
      </c>
      <c r="V434" s="108" t="str">
        <f t="shared" si="365"/>
        <v>USA</v>
      </c>
      <c r="W434" s="109">
        <f t="shared" si="366"/>
        <v>19.388621409971034</v>
      </c>
      <c r="X434" s="103">
        <f t="shared" si="367"/>
        <v>5.2157570127921167E-2</v>
      </c>
    </row>
    <row r="435" spans="2:24" ht="15" thickBot="1" x14ac:dyDescent="0.35"/>
    <row r="436" spans="2:24" ht="29.4" thickBot="1" x14ac:dyDescent="0.35">
      <c r="B436" s="96">
        <v>37377</v>
      </c>
      <c r="C436" s="18" t="s">
        <v>8</v>
      </c>
      <c r="D436" s="19" t="s">
        <v>17</v>
      </c>
      <c r="E436" s="19" t="s">
        <v>15</v>
      </c>
      <c r="F436" s="19" t="s">
        <v>16</v>
      </c>
      <c r="G436" s="19" t="s">
        <v>14</v>
      </c>
      <c r="H436" s="19" t="s">
        <v>38</v>
      </c>
      <c r="I436" s="19"/>
      <c r="J436" s="19"/>
      <c r="K436" s="19" t="s">
        <v>21</v>
      </c>
      <c r="L436" s="19" t="s">
        <v>20</v>
      </c>
      <c r="M436" s="19" t="s">
        <v>40</v>
      </c>
      <c r="N436" s="19" t="s">
        <v>32</v>
      </c>
      <c r="O436" s="19" t="s">
        <v>22</v>
      </c>
      <c r="P436" s="51" t="s">
        <v>34</v>
      </c>
      <c r="Q436" s="20" t="s">
        <v>35</v>
      </c>
      <c r="R436" s="63" t="s">
        <v>39</v>
      </c>
      <c r="S436" s="91" t="s">
        <v>43</v>
      </c>
      <c r="T436" s="91" t="s">
        <v>44</v>
      </c>
      <c r="V436" s="104" t="s">
        <v>48</v>
      </c>
      <c r="W436" s="105" t="s">
        <v>49</v>
      </c>
      <c r="X436" s="106" t="s">
        <v>50</v>
      </c>
    </row>
    <row r="437" spans="2:24" x14ac:dyDescent="0.3">
      <c r="B437" s="3" t="s">
        <v>0</v>
      </c>
      <c r="C437" s="1">
        <v>17119</v>
      </c>
      <c r="D437" s="14">
        <v>14.45</v>
      </c>
      <c r="E437" s="1">
        <v>11390</v>
      </c>
      <c r="F437" s="1">
        <v>1176</v>
      </c>
      <c r="G437" s="1">
        <v>310359</v>
      </c>
      <c r="H437" s="1">
        <f>C437-E437-F437</f>
        <v>4553</v>
      </c>
      <c r="I437" s="1"/>
      <c r="J437" s="1"/>
      <c r="K437" s="21">
        <f t="shared" ref="K437:K448" si="368">G437/D437</f>
        <v>21478.131487889274</v>
      </c>
      <c r="L437" s="21">
        <f t="shared" ref="L437:L448" si="369">C437/D437</f>
        <v>1184.7058823529412</v>
      </c>
      <c r="M437" s="31">
        <f>(H437-H423)/H423</f>
        <v>-2.338052338052338E-2</v>
      </c>
      <c r="N437" s="31">
        <f>F437/(E437+F437)</f>
        <v>9.3585866624224093E-2</v>
      </c>
      <c r="O437" s="43">
        <f>F437/D437</f>
        <v>81.384083044982702</v>
      </c>
      <c r="P437" s="49">
        <f>F437/C437</f>
        <v>6.86956013785852E-2</v>
      </c>
      <c r="Q437" s="47">
        <f>(C437-E437-F437)/D437</f>
        <v>315.08650519031141</v>
      </c>
      <c r="R437" s="66">
        <f>G437/H437</f>
        <v>68.165824730946625</v>
      </c>
      <c r="S437" s="92">
        <f t="shared" ref="S437:S448" si="370">(C437-C423)/D437</f>
        <v>35.363321799307961</v>
      </c>
      <c r="T437" s="93">
        <f>(F437-F423)/D437</f>
        <v>3.8062283737024223</v>
      </c>
      <c r="V437" s="101" t="str">
        <f>B437</f>
        <v>ON</v>
      </c>
      <c r="W437" s="102">
        <f>C437/D437/180+IFERROR((D437*C437*5)/(F437*F437),400)</f>
        <v>7.4760371729474109</v>
      </c>
      <c r="X437" s="103">
        <f>L437/75000/K437*K$447</f>
        <v>1.7432673462640005E-2</v>
      </c>
    </row>
    <row r="438" spans="2:24" x14ac:dyDescent="0.3">
      <c r="B438" s="5" t="s">
        <v>1</v>
      </c>
      <c r="C438" s="1">
        <v>29656</v>
      </c>
      <c r="D438" s="14">
        <v>8.43</v>
      </c>
      <c r="E438" s="1">
        <v>6965</v>
      </c>
      <c r="F438" s="1">
        <v>2136</v>
      </c>
      <c r="G438" s="1">
        <v>220421</v>
      </c>
      <c r="H438" s="1">
        <f t="shared" ref="H438:H448" si="371">C438-E438-F438</f>
        <v>20555</v>
      </c>
      <c r="I438" s="1"/>
      <c r="J438" s="1"/>
      <c r="K438" s="21">
        <f t="shared" si="368"/>
        <v>26147.212336892055</v>
      </c>
      <c r="L438" s="21">
        <f t="shared" si="369"/>
        <v>3517.9122182680903</v>
      </c>
      <c r="M438" s="31">
        <f t="shared" ref="M438:M448" si="372">(H438-H424)/H424</f>
        <v>3.1566797149452978E-2</v>
      </c>
      <c r="N438" s="31">
        <f t="shared" ref="N438:N448" si="373">F438/(E438+F438)</f>
        <v>0.2346994835732337</v>
      </c>
      <c r="O438" s="43">
        <f t="shared" ref="O438:O446" si="374">F438/D438</f>
        <v>253.38078291814946</v>
      </c>
      <c r="P438" s="49">
        <f t="shared" ref="P438:P448" si="375">F438/C438</f>
        <v>7.2025896951712978E-2</v>
      </c>
      <c r="Q438" s="47">
        <f t="shared" ref="Q438:Q448" si="376">(C438-E438-F438)/D438</f>
        <v>2438.3155397390274</v>
      </c>
      <c r="R438" s="66">
        <f t="shared" ref="R438:R448" si="377">G438/H438</f>
        <v>10.723473607394794</v>
      </c>
      <c r="S438" s="92">
        <f t="shared" si="370"/>
        <v>119.57295373665481</v>
      </c>
      <c r="T438" s="93">
        <f t="shared" ref="T438:T448" si="378">(F438-F424)/D438</f>
        <v>13.523131672597865</v>
      </c>
      <c r="V438" s="98" t="str">
        <f t="shared" ref="V438:V448" si="379">B438</f>
        <v>QC</v>
      </c>
      <c r="W438" s="100">
        <f t="shared" ref="W438:W448" si="380">C438/D438/180+IFERROR((D438*C438*5)/(F438*F438),400)</f>
        <v>19.817929698762462</v>
      </c>
      <c r="X438" s="103">
        <f t="shared" ref="X438:X448" si="381">L438/75000/K438*K$447</f>
        <v>4.252159551156795E-2</v>
      </c>
    </row>
    <row r="439" spans="2:24" x14ac:dyDescent="0.3">
      <c r="B439" s="5" t="s">
        <v>2</v>
      </c>
      <c r="C439" s="1">
        <v>2145</v>
      </c>
      <c r="D439" s="14">
        <v>5.0199999999999996</v>
      </c>
      <c r="E439" s="1">
        <v>1357</v>
      </c>
      <c r="F439" s="1">
        <v>112</v>
      </c>
      <c r="G439" s="1">
        <v>88670</v>
      </c>
      <c r="H439" s="1">
        <f t="shared" si="371"/>
        <v>676</v>
      </c>
      <c r="I439" s="1"/>
      <c r="J439" s="1"/>
      <c r="K439" s="21">
        <f t="shared" si="368"/>
        <v>17663.346613545818</v>
      </c>
      <c r="L439" s="21">
        <f t="shared" si="369"/>
        <v>427.29083665338646</v>
      </c>
      <c r="M439" s="31">
        <f t="shared" si="372"/>
        <v>-4.418262150220913E-3</v>
      </c>
      <c r="N439" s="31">
        <f t="shared" si="373"/>
        <v>7.6242341729067395E-2</v>
      </c>
      <c r="O439" s="43">
        <f t="shared" si="374"/>
        <v>22.310756972111555</v>
      </c>
      <c r="P439" s="49">
        <f t="shared" si="375"/>
        <v>5.2214452214452214E-2</v>
      </c>
      <c r="Q439" s="47">
        <f t="shared" si="376"/>
        <v>134.66135458167332</v>
      </c>
      <c r="R439" s="66">
        <f t="shared" si="377"/>
        <v>131.16863905325442</v>
      </c>
      <c r="S439" s="92">
        <f t="shared" si="370"/>
        <v>6.5737051792828689</v>
      </c>
      <c r="T439" s="93">
        <f t="shared" si="378"/>
        <v>0.19920318725099603</v>
      </c>
      <c r="V439" s="98" t="str">
        <f t="shared" si="379"/>
        <v>BC</v>
      </c>
      <c r="W439" s="100">
        <f t="shared" si="380"/>
        <v>6.6658899584485187</v>
      </c>
      <c r="X439" s="103">
        <f t="shared" si="381"/>
        <v>7.6454056878360824E-3</v>
      </c>
    </row>
    <row r="440" spans="2:24" x14ac:dyDescent="0.3">
      <c r="B440" s="5" t="s">
        <v>3</v>
      </c>
      <c r="C440" s="1">
        <v>5670</v>
      </c>
      <c r="D440" s="14">
        <v>4.34</v>
      </c>
      <c r="E440" s="1">
        <v>2534</v>
      </c>
      <c r="F440" s="1">
        <v>94</v>
      </c>
      <c r="G440" s="1">
        <v>157517</v>
      </c>
      <c r="H440" s="1">
        <f t="shared" si="371"/>
        <v>3042</v>
      </c>
      <c r="I440" s="1"/>
      <c r="J440" s="1"/>
      <c r="K440" s="21">
        <f t="shared" si="368"/>
        <v>36294.239631336408</v>
      </c>
      <c r="L440" s="21">
        <f t="shared" si="369"/>
        <v>1306.4516129032259</v>
      </c>
      <c r="M440" s="31">
        <f t="shared" si="372"/>
        <v>-2.5624599615631006E-2</v>
      </c>
      <c r="N440" s="31">
        <f t="shared" si="373"/>
        <v>3.5768645357686452E-2</v>
      </c>
      <c r="O440" s="43">
        <f t="shared" si="374"/>
        <v>21.658986175115206</v>
      </c>
      <c r="P440" s="49">
        <f t="shared" si="375"/>
        <v>1.6578483245149912E-2</v>
      </c>
      <c r="Q440" s="47">
        <f t="shared" si="376"/>
        <v>700.92165898617509</v>
      </c>
      <c r="R440" s="66">
        <f t="shared" si="377"/>
        <v>51.780736357659435</v>
      </c>
      <c r="S440" s="92">
        <f t="shared" si="370"/>
        <v>22.350230414746544</v>
      </c>
      <c r="T440" s="93">
        <f t="shared" si="378"/>
        <v>0.46082949308755761</v>
      </c>
      <c r="V440" s="98" t="str">
        <f t="shared" si="379"/>
        <v>AL</v>
      </c>
      <c r="W440" s="100">
        <f t="shared" si="380"/>
        <v>21.182804217351304</v>
      </c>
      <c r="X440" s="103">
        <f t="shared" si="381"/>
        <v>1.137641887758417E-2</v>
      </c>
    </row>
    <row r="441" spans="2:24" x14ac:dyDescent="0.3">
      <c r="B441" s="5" t="s">
        <v>4</v>
      </c>
      <c r="C441" s="1">
        <v>280</v>
      </c>
      <c r="D441" s="14">
        <v>1.36</v>
      </c>
      <c r="E441" s="1">
        <v>236</v>
      </c>
      <c r="F441" s="1">
        <v>6</v>
      </c>
      <c r="G441" s="1">
        <v>26169</v>
      </c>
      <c r="H441" s="1">
        <f t="shared" si="371"/>
        <v>38</v>
      </c>
      <c r="I441" s="1"/>
      <c r="J441" s="1"/>
      <c r="K441" s="21">
        <f t="shared" si="368"/>
        <v>19241.911764705881</v>
      </c>
      <c r="L441" s="21">
        <f t="shared" si="369"/>
        <v>205.88235294117646</v>
      </c>
      <c r="M441" s="31">
        <f t="shared" si="372"/>
        <v>0</v>
      </c>
      <c r="N441" s="31">
        <f t="shared" si="373"/>
        <v>2.4793388429752067E-2</v>
      </c>
      <c r="O441" s="43">
        <f t="shared" si="374"/>
        <v>4.4117647058823524</v>
      </c>
      <c r="P441" s="49">
        <f t="shared" si="375"/>
        <v>2.1428571428571429E-2</v>
      </c>
      <c r="Q441" s="47">
        <f t="shared" si="376"/>
        <v>27.941176470588232</v>
      </c>
      <c r="R441" s="66">
        <f t="shared" si="377"/>
        <v>688.65789473684208</v>
      </c>
      <c r="S441" s="92">
        <f t="shared" si="370"/>
        <v>0.73529411764705876</v>
      </c>
      <c r="T441" s="93">
        <f t="shared" si="378"/>
        <v>0</v>
      </c>
      <c r="V441" s="98" t="str">
        <f t="shared" si="379"/>
        <v>MA</v>
      </c>
      <c r="W441" s="100">
        <f t="shared" si="380"/>
        <v>54.032679738562088</v>
      </c>
      <c r="X441" s="103">
        <f t="shared" si="381"/>
        <v>3.3815892281187014E-3</v>
      </c>
    </row>
    <row r="442" spans="2:24" x14ac:dyDescent="0.3">
      <c r="B442" s="5" t="s">
        <v>5</v>
      </c>
      <c r="C442" s="1">
        <v>421</v>
      </c>
      <c r="D442" s="14">
        <v>1.17</v>
      </c>
      <c r="E442" s="1">
        <v>302</v>
      </c>
      <c r="F442" s="1">
        <v>6</v>
      </c>
      <c r="G442" s="1">
        <v>30845</v>
      </c>
      <c r="H442" s="1">
        <f t="shared" si="371"/>
        <v>113</v>
      </c>
      <c r="I442" s="1"/>
      <c r="J442" s="1"/>
      <c r="K442" s="21">
        <f t="shared" si="368"/>
        <v>26363.247863247863</v>
      </c>
      <c r="L442" s="21">
        <f t="shared" si="369"/>
        <v>359.82905982905987</v>
      </c>
      <c r="M442" s="31">
        <f t="shared" si="372"/>
        <v>8.9285714285714281E-3</v>
      </c>
      <c r="N442" s="31">
        <f t="shared" si="373"/>
        <v>1.948051948051948E-2</v>
      </c>
      <c r="O442" s="43">
        <f t="shared" si="374"/>
        <v>5.1282051282051286</v>
      </c>
      <c r="P442" s="49">
        <f t="shared" si="375"/>
        <v>1.4251781472684086E-2</v>
      </c>
      <c r="Q442" s="47">
        <f t="shared" si="376"/>
        <v>96.581196581196593</v>
      </c>
      <c r="R442" s="66">
        <f t="shared" si="377"/>
        <v>272.9646017699115</v>
      </c>
      <c r="S442" s="92">
        <f t="shared" si="370"/>
        <v>5.1282051282051286</v>
      </c>
      <c r="T442" s="93">
        <f t="shared" si="378"/>
        <v>0</v>
      </c>
      <c r="V442" s="98" t="str">
        <f t="shared" si="379"/>
        <v>SA</v>
      </c>
      <c r="W442" s="100">
        <f t="shared" si="380"/>
        <v>70.411550332383655</v>
      </c>
      <c r="X442" s="103">
        <f t="shared" si="381"/>
        <v>4.3136734806496456E-3</v>
      </c>
    </row>
    <row r="443" spans="2:24" x14ac:dyDescent="0.3">
      <c r="B443" s="5" t="s">
        <v>6</v>
      </c>
      <c r="C443" s="1">
        <v>963</v>
      </c>
      <c r="D443" s="14">
        <v>0.96499999999999997</v>
      </c>
      <c r="E443" s="1">
        <v>609</v>
      </c>
      <c r="F443" s="1">
        <v>31</v>
      </c>
      <c r="G443" s="1">
        <f>29406+C443</f>
        <v>30369</v>
      </c>
      <c r="H443" s="1">
        <f t="shared" si="371"/>
        <v>323</v>
      </c>
      <c r="I443" s="1"/>
      <c r="J443" s="1"/>
      <c r="K443" s="21">
        <f t="shared" si="368"/>
        <v>31470.466321243523</v>
      </c>
      <c r="L443" s="21">
        <f t="shared" si="369"/>
        <v>997.92746113989642</v>
      </c>
      <c r="M443" s="31">
        <f t="shared" si="372"/>
        <v>-4.4378698224852069E-2</v>
      </c>
      <c r="N443" s="31">
        <f t="shared" si="373"/>
        <v>4.8437500000000001E-2</v>
      </c>
      <c r="O443" s="43">
        <f t="shared" si="374"/>
        <v>32.124352331606218</v>
      </c>
      <c r="P443" s="49">
        <f t="shared" si="375"/>
        <v>3.2191069574247146E-2</v>
      </c>
      <c r="Q443" s="47">
        <f t="shared" si="376"/>
        <v>334.71502590673578</v>
      </c>
      <c r="R443" s="66">
        <f t="shared" si="377"/>
        <v>94.021671826625393</v>
      </c>
      <c r="S443" s="92">
        <f t="shared" si="370"/>
        <v>4.1450777202072544</v>
      </c>
      <c r="T443" s="93">
        <f t="shared" si="378"/>
        <v>2.0725388601036272</v>
      </c>
      <c r="V443" s="98" t="str">
        <f t="shared" si="379"/>
        <v>NS</v>
      </c>
      <c r="W443" s="100">
        <f t="shared" si="380"/>
        <v>10.379083074086255</v>
      </c>
      <c r="X443" s="103">
        <f t="shared" si="381"/>
        <v>1.0021800261044473E-2</v>
      </c>
    </row>
    <row r="444" spans="2:24" x14ac:dyDescent="0.3">
      <c r="B444" s="5" t="s">
        <v>7</v>
      </c>
      <c r="C444" s="1">
        <v>118</v>
      </c>
      <c r="D444" s="14">
        <v>0.77200000000000002</v>
      </c>
      <c r="E444" s="1">
        <v>118</v>
      </c>
      <c r="F444" s="1">
        <v>0</v>
      </c>
      <c r="G444" s="1">
        <v>15058</v>
      </c>
      <c r="H444" s="1">
        <f t="shared" si="371"/>
        <v>0</v>
      </c>
      <c r="I444" s="1"/>
      <c r="J444" s="1"/>
      <c r="K444" s="21">
        <f t="shared" si="368"/>
        <v>19505.181347150257</v>
      </c>
      <c r="L444" s="21">
        <f t="shared" si="369"/>
        <v>152.84974093264248</v>
      </c>
      <c r="M444" s="31">
        <f t="shared" si="372"/>
        <v>-1</v>
      </c>
      <c r="N444" s="31">
        <f t="shared" si="373"/>
        <v>0</v>
      </c>
      <c r="O444" s="43">
        <f t="shared" si="374"/>
        <v>0</v>
      </c>
      <c r="P444" s="49">
        <f t="shared" si="375"/>
        <v>0</v>
      </c>
      <c r="Q444" s="47">
        <f t="shared" si="376"/>
        <v>0</v>
      </c>
      <c r="R444" s="66">
        <f>IFERROR(G444/H444,15000)</f>
        <v>15000</v>
      </c>
      <c r="S444" s="92">
        <f t="shared" si="370"/>
        <v>0</v>
      </c>
      <c r="T444" s="93">
        <f t="shared" si="378"/>
        <v>0</v>
      </c>
      <c r="V444" s="98" t="str">
        <f t="shared" si="379"/>
        <v>NB</v>
      </c>
      <c r="W444" s="100">
        <f t="shared" si="380"/>
        <v>400.84916522740355</v>
      </c>
      <c r="X444" s="103">
        <f t="shared" si="381"/>
        <v>2.4766501442648708E-3</v>
      </c>
    </row>
    <row r="445" spans="2:24" x14ac:dyDescent="0.3">
      <c r="B445" s="5" t="s">
        <v>18</v>
      </c>
      <c r="C445" s="9">
        <v>27</v>
      </c>
      <c r="D445" s="15">
        <v>0.154</v>
      </c>
      <c r="E445" s="9">
        <v>24</v>
      </c>
      <c r="F445" s="9">
        <v>0</v>
      </c>
      <c r="G445" s="9">
        <v>3125</v>
      </c>
      <c r="H445" s="1">
        <f t="shared" si="371"/>
        <v>3</v>
      </c>
      <c r="I445" s="9"/>
      <c r="J445" s="9"/>
      <c r="K445" s="22">
        <f t="shared" si="368"/>
        <v>20292.207792207791</v>
      </c>
      <c r="L445" s="22">
        <f t="shared" si="369"/>
        <v>175.32467532467533</v>
      </c>
      <c r="M445" s="31">
        <f t="shared" si="372"/>
        <v>0</v>
      </c>
      <c r="N445" s="31">
        <f t="shared" si="373"/>
        <v>0</v>
      </c>
      <c r="O445" s="44">
        <f t="shared" si="374"/>
        <v>0</v>
      </c>
      <c r="P445" s="49">
        <f t="shared" si="375"/>
        <v>0</v>
      </c>
      <c r="Q445" s="47">
        <f t="shared" si="376"/>
        <v>19.480519480519479</v>
      </c>
      <c r="R445" s="66">
        <f t="shared" si="377"/>
        <v>1041.6666666666667</v>
      </c>
      <c r="S445" s="92">
        <f t="shared" si="370"/>
        <v>0</v>
      </c>
      <c r="T445" s="93">
        <f t="shared" si="378"/>
        <v>0</v>
      </c>
      <c r="V445" s="98" t="str">
        <f t="shared" si="379"/>
        <v>PEI</v>
      </c>
      <c r="W445" s="100">
        <f t="shared" si="380"/>
        <v>400.97402597402595</v>
      </c>
      <c r="X445" s="103">
        <f t="shared" si="381"/>
        <v>2.7306352340425531E-3</v>
      </c>
    </row>
    <row r="446" spans="2:24" ht="15" thickBot="1" x14ac:dyDescent="0.35">
      <c r="B446" s="5" t="s">
        <v>11</v>
      </c>
      <c r="C446" s="9">
        <v>259</v>
      </c>
      <c r="D446" s="15">
        <v>0.52400000000000002</v>
      </c>
      <c r="E446" s="9">
        <v>231</v>
      </c>
      <c r="F446" s="9">
        <v>3</v>
      </c>
      <c r="G446" s="9">
        <v>8716</v>
      </c>
      <c r="H446" s="9">
        <f t="shared" si="371"/>
        <v>25</v>
      </c>
      <c r="I446" s="9"/>
      <c r="J446" s="9"/>
      <c r="K446" s="22">
        <f t="shared" si="368"/>
        <v>16633.587786259541</v>
      </c>
      <c r="L446" s="22">
        <f t="shared" si="369"/>
        <v>494.27480916030532</v>
      </c>
      <c r="M446" s="31">
        <f t="shared" si="372"/>
        <v>-3.8461538461538464E-2</v>
      </c>
      <c r="N446" s="32">
        <f t="shared" si="373"/>
        <v>1.282051282051282E-2</v>
      </c>
      <c r="O446" s="44">
        <f t="shared" si="374"/>
        <v>5.7251908396946565</v>
      </c>
      <c r="P446" s="50">
        <f t="shared" si="375"/>
        <v>1.1583011583011582E-2</v>
      </c>
      <c r="Q446" s="48">
        <f t="shared" si="376"/>
        <v>47.709923664122137</v>
      </c>
      <c r="R446" s="67">
        <f t="shared" si="377"/>
        <v>348.64</v>
      </c>
      <c r="S446" s="92">
        <f t="shared" si="370"/>
        <v>0</v>
      </c>
      <c r="T446" s="93">
        <f t="shared" si="378"/>
        <v>0</v>
      </c>
      <c r="V446" s="99" t="str">
        <f t="shared" si="379"/>
        <v>NFLD</v>
      </c>
      <c r="W446" s="107">
        <f t="shared" si="380"/>
        <v>78.143748939779471</v>
      </c>
      <c r="X446" s="103">
        <f t="shared" si="381"/>
        <v>9.391446520461269E-3</v>
      </c>
    </row>
    <row r="447" spans="2:24" ht="15" thickBot="1" x14ac:dyDescent="0.35">
      <c r="B447" s="11" t="s">
        <v>10</v>
      </c>
      <c r="C447" s="12">
        <v>56714</v>
      </c>
      <c r="D447" s="16">
        <v>37.6</v>
      </c>
      <c r="E447" s="12">
        <v>23801</v>
      </c>
      <c r="F447" s="12">
        <v>3566</v>
      </c>
      <c r="G447" s="12">
        <f>SUM(G437:G446)</f>
        <v>891249</v>
      </c>
      <c r="H447" s="81">
        <f t="shared" si="371"/>
        <v>29347</v>
      </c>
      <c r="I447" s="111"/>
      <c r="J447" s="111"/>
      <c r="K447" s="77">
        <f t="shared" si="368"/>
        <v>23703.430851063829</v>
      </c>
      <c r="L447" s="23">
        <f t="shared" si="369"/>
        <v>1508.3510638297871</v>
      </c>
      <c r="M447" s="31">
        <f t="shared" si="372"/>
        <v>1.4799958504789238E-2</v>
      </c>
      <c r="N447" s="33">
        <f t="shared" si="373"/>
        <v>0.13030291957467022</v>
      </c>
      <c r="O447" s="45">
        <f>F447/D447</f>
        <v>94.840425531914889</v>
      </c>
      <c r="P447" s="53">
        <f t="shared" si="375"/>
        <v>6.2876891067461291E-2</v>
      </c>
      <c r="Q447" s="55">
        <f t="shared" si="376"/>
        <v>780.50531914893611</v>
      </c>
      <c r="R447" s="74">
        <f t="shared" si="377"/>
        <v>30.369339285105802</v>
      </c>
      <c r="S447" s="92">
        <f t="shared" si="370"/>
        <v>43.962765957446805</v>
      </c>
      <c r="T447" s="93">
        <f t="shared" si="378"/>
        <v>4.6542553191489358</v>
      </c>
      <c r="V447" s="108" t="str">
        <f t="shared" si="379"/>
        <v>Canada</v>
      </c>
      <c r="W447" s="109">
        <f t="shared" si="380"/>
        <v>9.2181941206000531</v>
      </c>
      <c r="X447" s="103">
        <f t="shared" si="381"/>
        <v>2.0111347517730496E-2</v>
      </c>
    </row>
    <row r="448" spans="2:24" ht="15" thickBot="1" x14ac:dyDescent="0.35">
      <c r="B448" s="6" t="s">
        <v>9</v>
      </c>
      <c r="C448" s="7">
        <v>1152328</v>
      </c>
      <c r="D448" s="7">
        <v>327</v>
      </c>
      <c r="E448" s="7">
        <v>170179</v>
      </c>
      <c r="F448" s="7">
        <v>66921</v>
      </c>
      <c r="G448" s="7">
        <v>6888582</v>
      </c>
      <c r="H448" s="82">
        <f t="shared" si="371"/>
        <v>915228</v>
      </c>
      <c r="I448" s="112"/>
      <c r="J448" s="112"/>
      <c r="K448" s="78">
        <f t="shared" si="368"/>
        <v>21066</v>
      </c>
      <c r="L448" s="24">
        <f t="shared" si="369"/>
        <v>3523.9388379204893</v>
      </c>
      <c r="M448" s="31">
        <f t="shared" si="372"/>
        <v>2.5459801345650724E-2</v>
      </c>
      <c r="N448" s="33">
        <f t="shared" si="373"/>
        <v>0.28224799662589622</v>
      </c>
      <c r="O448" s="46">
        <f>F448/D448</f>
        <v>204.651376146789</v>
      </c>
      <c r="P448" s="52">
        <f t="shared" si="375"/>
        <v>5.8074610701119821E-2</v>
      </c>
      <c r="Q448" s="54">
        <f t="shared" si="376"/>
        <v>2798.8623853211011</v>
      </c>
      <c r="R448" s="72">
        <f t="shared" si="377"/>
        <v>7.5266294300436609</v>
      </c>
      <c r="S448" s="92">
        <f t="shared" si="370"/>
        <v>111.64220183486239</v>
      </c>
      <c r="T448" s="93">
        <f t="shared" si="378"/>
        <v>5.7859327217125385</v>
      </c>
      <c r="V448" s="108" t="str">
        <f t="shared" si="379"/>
        <v>USA</v>
      </c>
      <c r="W448" s="109">
        <f t="shared" si="380"/>
        <v>19.998134613286304</v>
      </c>
      <c r="X448" s="103">
        <f t="shared" si="381"/>
        <v>5.2868407587598691E-2</v>
      </c>
    </row>
    <row r="449" spans="2:24" ht="15" thickBot="1" x14ac:dyDescent="0.35"/>
    <row r="450" spans="2:24" ht="29.4" thickBot="1" x14ac:dyDescent="0.35">
      <c r="B450" s="96">
        <v>38108</v>
      </c>
      <c r="C450" s="18" t="s">
        <v>8</v>
      </c>
      <c r="D450" s="19" t="s">
        <v>17</v>
      </c>
      <c r="E450" s="19" t="s">
        <v>15</v>
      </c>
      <c r="F450" s="19" t="s">
        <v>16</v>
      </c>
      <c r="G450" s="19" t="s">
        <v>14</v>
      </c>
      <c r="H450" s="19" t="s">
        <v>38</v>
      </c>
      <c r="I450" s="19"/>
      <c r="J450" s="19"/>
      <c r="K450" s="19" t="s">
        <v>21</v>
      </c>
      <c r="L450" s="19" t="s">
        <v>20</v>
      </c>
      <c r="M450" s="19" t="s">
        <v>40</v>
      </c>
      <c r="N450" s="19" t="s">
        <v>32</v>
      </c>
      <c r="O450" s="19" t="s">
        <v>22</v>
      </c>
      <c r="P450" s="51" t="s">
        <v>34</v>
      </c>
      <c r="Q450" s="20" t="s">
        <v>35</v>
      </c>
      <c r="R450" s="63" t="s">
        <v>39</v>
      </c>
      <c r="S450" s="91" t="s">
        <v>43</v>
      </c>
      <c r="T450" s="91" t="s">
        <v>44</v>
      </c>
      <c r="V450" s="104" t="s">
        <v>48</v>
      </c>
      <c r="W450" s="105" t="s">
        <v>49</v>
      </c>
      <c r="X450" s="106" t="s">
        <v>50</v>
      </c>
    </row>
    <row r="451" spans="2:24" x14ac:dyDescent="0.3">
      <c r="B451" s="3" t="s">
        <v>0</v>
      </c>
      <c r="C451" s="1">
        <v>17923</v>
      </c>
      <c r="D451" s="14">
        <v>14.45</v>
      </c>
      <c r="E451" s="1">
        <v>12505</v>
      </c>
      <c r="F451" s="1">
        <v>1300</v>
      </c>
      <c r="G451" s="1">
        <v>342060</v>
      </c>
      <c r="H451" s="1">
        <f>C451-E451-F451</f>
        <v>4118</v>
      </c>
      <c r="I451" s="1"/>
      <c r="J451" s="1"/>
      <c r="K451" s="21">
        <f t="shared" ref="K451:K462" si="382">G451/D451</f>
        <v>23671.9723183391</v>
      </c>
      <c r="L451" s="21">
        <f t="shared" ref="L451:L462" si="383">C451/D451</f>
        <v>1240.3460207612457</v>
      </c>
      <c r="M451" s="31">
        <f>(H451-H437)/H437</f>
        <v>-9.5541401273885357E-2</v>
      </c>
      <c r="N451" s="31">
        <f>F451/(E451+F451)</f>
        <v>9.4168779427743571E-2</v>
      </c>
      <c r="O451" s="43">
        <f>F451/D451</f>
        <v>89.965397923875443</v>
      </c>
      <c r="P451" s="49">
        <f>F451/C451</f>
        <v>7.2532500139485576E-2</v>
      </c>
      <c r="Q451" s="47">
        <f>(C451-E451-F451)/D451</f>
        <v>284.98269896193773</v>
      </c>
      <c r="R451" s="66">
        <f>G451/H451</f>
        <v>83.064594463331716</v>
      </c>
      <c r="S451" s="92">
        <f>(C451-C437)/D451/2</f>
        <v>27.820069204152251</v>
      </c>
      <c r="T451" s="93">
        <f>(F451-F437)/D451/2</f>
        <v>4.2906574394463668</v>
      </c>
      <c r="V451" s="101" t="str">
        <f>B451</f>
        <v>ON</v>
      </c>
      <c r="W451" s="102">
        <f>C451/D451/180+IFERROR((D451*C451*5)/(F451*F451),400)</f>
        <v>7.6570459897649741</v>
      </c>
      <c r="X451" s="103">
        <f>L451/75000/K451*K$461</f>
        <v>1.7801293474082561E-2</v>
      </c>
    </row>
    <row r="452" spans="2:24" x14ac:dyDescent="0.3">
      <c r="B452" s="5" t="s">
        <v>1</v>
      </c>
      <c r="C452" s="1">
        <v>32623</v>
      </c>
      <c r="D452" s="14">
        <v>8.43</v>
      </c>
      <c r="E452" s="1">
        <v>7578</v>
      </c>
      <c r="F452" s="1">
        <v>2280</v>
      </c>
      <c r="G452" s="1">
        <v>235629</v>
      </c>
      <c r="H452" s="1">
        <f t="shared" ref="H452:H462" si="384">C452-E452-F452</f>
        <v>22765</v>
      </c>
      <c r="I452" s="1"/>
      <c r="J452" s="1"/>
      <c r="K452" s="21">
        <f t="shared" si="382"/>
        <v>27951.245551601423</v>
      </c>
      <c r="L452" s="21">
        <f t="shared" si="383"/>
        <v>3869.8695136417559</v>
      </c>
      <c r="M452" s="31">
        <f t="shared" ref="M452:M462" si="385">(H452-H438)/H438</f>
        <v>0.10751641936268548</v>
      </c>
      <c r="N452" s="31">
        <f t="shared" ref="N452:N462" si="386">F452/(E452+F452)</f>
        <v>0.23128423615337795</v>
      </c>
      <c r="O452" s="43">
        <f t="shared" ref="O452:O460" si="387">F452/D452</f>
        <v>270.46263345195729</v>
      </c>
      <c r="P452" s="49">
        <f t="shared" ref="P452:P462" si="388">F452/C452</f>
        <v>6.9889341875364011E-2</v>
      </c>
      <c r="Q452" s="47">
        <f t="shared" ref="Q452:Q462" si="389">(C452-E452-F452)/D452</f>
        <v>2700.4744958481615</v>
      </c>
      <c r="R452" s="66">
        <f t="shared" ref="R452:R457" si="390">G452/H452</f>
        <v>10.350494179661762</v>
      </c>
      <c r="S452" s="92">
        <f t="shared" ref="S452:S462" si="391">(C452-C438)/D452/2</f>
        <v>175.97864768683274</v>
      </c>
      <c r="T452" s="93">
        <f t="shared" ref="T452:T462" si="392">(F452-F438)/D452/2</f>
        <v>8.5409252669039155</v>
      </c>
      <c r="V452" s="98" t="str">
        <f t="shared" ref="V452:V462" si="393">B452</f>
        <v>QC</v>
      </c>
      <c r="W452" s="100">
        <f t="shared" ref="W452:W462" si="394">C452/D452/180+IFERROR((D452*C452*5)/(F452*F452),400)</f>
        <v>21.763790974910339</v>
      </c>
      <c r="X452" s="103">
        <f t="shared" ref="X452:X462" si="395">L452/75000/K452*K$461</f>
        <v>4.7036857883241086E-2</v>
      </c>
    </row>
    <row r="453" spans="2:24" x14ac:dyDescent="0.3">
      <c r="B453" s="5" t="s">
        <v>2</v>
      </c>
      <c r="C453" s="1">
        <v>2224</v>
      </c>
      <c r="D453" s="14">
        <v>5.0199999999999996</v>
      </c>
      <c r="E453" s="1">
        <v>1417</v>
      </c>
      <c r="F453" s="1">
        <v>117</v>
      </c>
      <c r="G453" s="1">
        <v>96517</v>
      </c>
      <c r="H453" s="1">
        <f t="shared" si="384"/>
        <v>690</v>
      </c>
      <c r="I453" s="1"/>
      <c r="J453" s="1"/>
      <c r="K453" s="21">
        <f t="shared" si="382"/>
        <v>19226.494023904383</v>
      </c>
      <c r="L453" s="21">
        <f t="shared" si="383"/>
        <v>443.02788844621517</v>
      </c>
      <c r="M453" s="31">
        <f t="shared" si="385"/>
        <v>2.0710059171597635E-2</v>
      </c>
      <c r="N453" s="31">
        <f t="shared" si="386"/>
        <v>7.6271186440677971E-2</v>
      </c>
      <c r="O453" s="43">
        <f t="shared" si="387"/>
        <v>23.306772908366536</v>
      </c>
      <c r="P453" s="49">
        <f t="shared" si="388"/>
        <v>5.2607913669064747E-2</v>
      </c>
      <c r="Q453" s="47">
        <f t="shared" si="389"/>
        <v>137.45019920318725</v>
      </c>
      <c r="R453" s="66">
        <f t="shared" si="390"/>
        <v>139.87971014492754</v>
      </c>
      <c r="S453" s="92">
        <f t="shared" si="391"/>
        <v>7.8685258964143436</v>
      </c>
      <c r="T453" s="93">
        <f t="shared" si="392"/>
        <v>0.4980079681274901</v>
      </c>
      <c r="V453" s="98" t="str">
        <f t="shared" si="393"/>
        <v>BC</v>
      </c>
      <c r="W453" s="100">
        <f t="shared" si="394"/>
        <v>6.5391680120048701</v>
      </c>
      <c r="X453" s="103">
        <f t="shared" si="395"/>
        <v>7.8284199520357884E-3</v>
      </c>
    </row>
    <row r="454" spans="2:24" x14ac:dyDescent="0.3">
      <c r="B454" s="5" t="s">
        <v>3</v>
      </c>
      <c r="C454" s="1">
        <v>5863</v>
      </c>
      <c r="D454" s="14">
        <v>4.34</v>
      </c>
      <c r="E454" s="1">
        <v>2942</v>
      </c>
      <c r="F454" s="1">
        <v>104</v>
      </c>
      <c r="G454" s="1">
        <v>164772</v>
      </c>
      <c r="H454" s="1">
        <f t="shared" si="384"/>
        <v>2817</v>
      </c>
      <c r="I454" s="1"/>
      <c r="J454" s="1"/>
      <c r="K454" s="21">
        <f t="shared" si="382"/>
        <v>37965.898617511521</v>
      </c>
      <c r="L454" s="21">
        <f t="shared" si="383"/>
        <v>1350.9216589861751</v>
      </c>
      <c r="M454" s="31">
        <f t="shared" si="385"/>
        <v>-7.3964497041420121E-2</v>
      </c>
      <c r="N454" s="31">
        <f t="shared" si="386"/>
        <v>3.4143138542350626E-2</v>
      </c>
      <c r="O454" s="43">
        <f t="shared" si="387"/>
        <v>23.963133640552996</v>
      </c>
      <c r="P454" s="49">
        <f t="shared" si="388"/>
        <v>1.7738359201773836E-2</v>
      </c>
      <c r="Q454" s="47">
        <f t="shared" si="389"/>
        <v>649.07834101382491</v>
      </c>
      <c r="R454" s="66">
        <f t="shared" si="390"/>
        <v>58.492012779552716</v>
      </c>
      <c r="S454" s="92">
        <f t="shared" si="391"/>
        <v>22.235023041474655</v>
      </c>
      <c r="T454" s="93">
        <f t="shared" si="392"/>
        <v>1.1520737327188941</v>
      </c>
      <c r="V454" s="98" t="str">
        <f t="shared" si="393"/>
        <v>AL</v>
      </c>
      <c r="W454" s="100">
        <f t="shared" si="394"/>
        <v>19.26798090462405</v>
      </c>
      <c r="X454" s="103">
        <f t="shared" si="395"/>
        <v>1.2088700769496573E-2</v>
      </c>
    </row>
    <row r="455" spans="2:24" x14ac:dyDescent="0.3">
      <c r="B455" s="5" t="s">
        <v>4</v>
      </c>
      <c r="C455" s="1">
        <v>281</v>
      </c>
      <c r="D455" s="14">
        <v>1.36</v>
      </c>
      <c r="E455" s="1">
        <v>238</v>
      </c>
      <c r="F455" s="1">
        <v>6</v>
      </c>
      <c r="G455" s="1">
        <v>27446</v>
      </c>
      <c r="H455" s="1">
        <f t="shared" si="384"/>
        <v>37</v>
      </c>
      <c r="I455" s="1"/>
      <c r="J455" s="1"/>
      <c r="K455" s="21">
        <f t="shared" si="382"/>
        <v>20180.882352941175</v>
      </c>
      <c r="L455" s="21">
        <f t="shared" si="383"/>
        <v>206.61764705882351</v>
      </c>
      <c r="M455" s="31">
        <f t="shared" si="385"/>
        <v>-2.6315789473684209E-2</v>
      </c>
      <c r="N455" s="31">
        <f t="shared" si="386"/>
        <v>2.4590163934426229E-2</v>
      </c>
      <c r="O455" s="43">
        <f t="shared" si="387"/>
        <v>4.4117647058823524</v>
      </c>
      <c r="P455" s="49">
        <f t="shared" si="388"/>
        <v>2.1352313167259787E-2</v>
      </c>
      <c r="Q455" s="47">
        <f t="shared" si="389"/>
        <v>27.205882352941174</v>
      </c>
      <c r="R455" s="66">
        <f t="shared" si="390"/>
        <v>741.78378378378375</v>
      </c>
      <c r="S455" s="92">
        <f t="shared" si="391"/>
        <v>0.36764705882352938</v>
      </c>
      <c r="T455" s="93">
        <f t="shared" si="392"/>
        <v>0</v>
      </c>
      <c r="V455" s="98" t="str">
        <f t="shared" si="393"/>
        <v>MA</v>
      </c>
      <c r="W455" s="100">
        <f t="shared" si="394"/>
        <v>54.225653594771245</v>
      </c>
      <c r="X455" s="103">
        <f t="shared" si="395"/>
        <v>3.4783269972293749E-3</v>
      </c>
    </row>
    <row r="456" spans="2:24" x14ac:dyDescent="0.3">
      <c r="B456" s="5" t="s">
        <v>5</v>
      </c>
      <c r="C456" s="1">
        <v>467</v>
      </c>
      <c r="D456" s="14">
        <v>1.17</v>
      </c>
      <c r="E456" s="1">
        <v>307</v>
      </c>
      <c r="F456" s="1">
        <v>6</v>
      </c>
      <c r="G456" s="1">
        <v>32334</v>
      </c>
      <c r="H456" s="1">
        <f t="shared" si="384"/>
        <v>154</v>
      </c>
      <c r="I456" s="1"/>
      <c r="J456" s="1"/>
      <c r="K456" s="21">
        <f t="shared" si="382"/>
        <v>27635.897435897437</v>
      </c>
      <c r="L456" s="21">
        <f t="shared" si="383"/>
        <v>399.14529914529919</v>
      </c>
      <c r="M456" s="31">
        <f t="shared" si="385"/>
        <v>0.36283185840707965</v>
      </c>
      <c r="N456" s="31">
        <f t="shared" si="386"/>
        <v>1.9169329073482427E-2</v>
      </c>
      <c r="O456" s="43">
        <f t="shared" si="387"/>
        <v>5.1282051282051286</v>
      </c>
      <c r="P456" s="49">
        <f t="shared" si="388"/>
        <v>1.284796573875803E-2</v>
      </c>
      <c r="Q456" s="47">
        <f t="shared" si="389"/>
        <v>131.62393162393164</v>
      </c>
      <c r="R456" s="66">
        <f t="shared" si="390"/>
        <v>209.96103896103895</v>
      </c>
      <c r="S456" s="92">
        <f t="shared" si="391"/>
        <v>19.658119658119659</v>
      </c>
      <c r="T456" s="93">
        <f t="shared" si="392"/>
        <v>0</v>
      </c>
      <c r="V456" s="98" t="str">
        <f t="shared" si="393"/>
        <v>SA</v>
      </c>
      <c r="W456" s="100">
        <f t="shared" si="394"/>
        <v>78.104973884140534</v>
      </c>
      <c r="X456" s="103">
        <f t="shared" si="395"/>
        <v>4.906825270547175E-3</v>
      </c>
    </row>
    <row r="457" spans="2:24" x14ac:dyDescent="0.3">
      <c r="B457" s="5" t="s">
        <v>6</v>
      </c>
      <c r="C457" s="1">
        <v>985</v>
      </c>
      <c r="D457" s="14">
        <v>0.96499999999999997</v>
      </c>
      <c r="E457" s="1">
        <v>638</v>
      </c>
      <c r="F457" s="1">
        <v>38</v>
      </c>
      <c r="G457" s="1">
        <f>30441+C457</f>
        <v>31426</v>
      </c>
      <c r="H457" s="1">
        <f t="shared" si="384"/>
        <v>309</v>
      </c>
      <c r="I457" s="1"/>
      <c r="J457" s="1"/>
      <c r="K457" s="21">
        <f t="shared" si="382"/>
        <v>32565.80310880829</v>
      </c>
      <c r="L457" s="21">
        <f t="shared" si="383"/>
        <v>1020.7253886010363</v>
      </c>
      <c r="M457" s="31">
        <f t="shared" si="385"/>
        <v>-4.3343653250773995E-2</v>
      </c>
      <c r="N457" s="31">
        <f t="shared" si="386"/>
        <v>5.6213017751479293E-2</v>
      </c>
      <c r="O457" s="43">
        <f t="shared" si="387"/>
        <v>39.37823834196891</v>
      </c>
      <c r="P457" s="49">
        <f t="shared" si="388"/>
        <v>3.8578680203045689E-2</v>
      </c>
      <c r="Q457" s="47">
        <f t="shared" si="389"/>
        <v>320.20725388601039</v>
      </c>
      <c r="R457" s="66">
        <f t="shared" si="390"/>
        <v>101.70226537216828</v>
      </c>
      <c r="S457" s="92">
        <f t="shared" si="391"/>
        <v>11.398963730569948</v>
      </c>
      <c r="T457" s="93">
        <f t="shared" si="392"/>
        <v>3.6269430051813472</v>
      </c>
      <c r="V457" s="98" t="str">
        <f t="shared" si="393"/>
        <v>NS</v>
      </c>
      <c r="W457" s="100">
        <f t="shared" si="394"/>
        <v>8.9619881545856295</v>
      </c>
      <c r="X457" s="103">
        <f t="shared" si="395"/>
        <v>1.0648545011516415E-2</v>
      </c>
    </row>
    <row r="458" spans="2:24" x14ac:dyDescent="0.3">
      <c r="B458" s="5" t="s">
        <v>7</v>
      </c>
      <c r="C458" s="1">
        <v>118</v>
      </c>
      <c r="D458" s="14">
        <v>0.77200000000000002</v>
      </c>
      <c r="E458" s="1">
        <v>118</v>
      </c>
      <c r="F458" s="1">
        <v>0</v>
      </c>
      <c r="G458" s="1">
        <v>15585</v>
      </c>
      <c r="H458" s="1">
        <f t="shared" si="384"/>
        <v>0</v>
      </c>
      <c r="I458" s="1"/>
      <c r="J458" s="1"/>
      <c r="K458" s="21">
        <f t="shared" si="382"/>
        <v>20187.82383419689</v>
      </c>
      <c r="L458" s="21">
        <f t="shared" si="383"/>
        <v>152.84974093264248</v>
      </c>
      <c r="M458" s="31">
        <v>0</v>
      </c>
      <c r="N458" s="31">
        <f t="shared" si="386"/>
        <v>0</v>
      </c>
      <c r="O458" s="43">
        <f t="shared" si="387"/>
        <v>0</v>
      </c>
      <c r="P458" s="49">
        <f t="shared" si="388"/>
        <v>0</v>
      </c>
      <c r="Q458" s="47">
        <f t="shared" si="389"/>
        <v>0</v>
      </c>
      <c r="R458" s="66">
        <f>IFERROR(G458/H458,15000)</f>
        <v>15000</v>
      </c>
      <c r="S458" s="92">
        <f t="shared" si="391"/>
        <v>0</v>
      </c>
      <c r="T458" s="93">
        <f t="shared" si="392"/>
        <v>0</v>
      </c>
      <c r="V458" s="98" t="str">
        <f t="shared" si="393"/>
        <v>NB</v>
      </c>
      <c r="W458" s="100">
        <f t="shared" si="394"/>
        <v>400.84916522740355</v>
      </c>
      <c r="X458" s="103">
        <f t="shared" si="395"/>
        <v>2.5722806299019107E-3</v>
      </c>
    </row>
    <row r="459" spans="2:24" x14ac:dyDescent="0.3">
      <c r="B459" s="5" t="s">
        <v>18</v>
      </c>
      <c r="C459" s="9">
        <v>27</v>
      </c>
      <c r="D459" s="15">
        <v>0.154</v>
      </c>
      <c r="E459" s="9">
        <v>25</v>
      </c>
      <c r="F459" s="9">
        <v>0</v>
      </c>
      <c r="G459" s="9">
        <v>3329</v>
      </c>
      <c r="H459" s="1">
        <f t="shared" si="384"/>
        <v>2</v>
      </c>
      <c r="I459" s="9"/>
      <c r="J459" s="9"/>
      <c r="K459" s="22">
        <f t="shared" si="382"/>
        <v>21616.883116883117</v>
      </c>
      <c r="L459" s="22">
        <f t="shared" si="383"/>
        <v>175.32467532467533</v>
      </c>
      <c r="M459" s="31">
        <f t="shared" si="385"/>
        <v>-0.33333333333333331</v>
      </c>
      <c r="N459" s="31">
        <f t="shared" si="386"/>
        <v>0</v>
      </c>
      <c r="O459" s="44">
        <f t="shared" si="387"/>
        <v>0</v>
      </c>
      <c r="P459" s="49">
        <f t="shared" si="388"/>
        <v>0</v>
      </c>
      <c r="Q459" s="47">
        <f t="shared" si="389"/>
        <v>12.987012987012987</v>
      </c>
      <c r="R459" s="66">
        <f>G459/H459</f>
        <v>1664.5</v>
      </c>
      <c r="S459" s="92">
        <f t="shared" si="391"/>
        <v>0</v>
      </c>
      <c r="T459" s="93">
        <f t="shared" si="392"/>
        <v>0</v>
      </c>
      <c r="V459" s="98" t="str">
        <f t="shared" si="393"/>
        <v>PEI</v>
      </c>
      <c r="W459" s="100">
        <f t="shared" si="394"/>
        <v>400.97402597402595</v>
      </c>
      <c r="X459" s="103">
        <f t="shared" si="395"/>
        <v>2.7554536855358774E-3</v>
      </c>
    </row>
    <row r="460" spans="2:24" ht="15" thickBot="1" x14ac:dyDescent="0.35">
      <c r="B460" s="5" t="s">
        <v>11</v>
      </c>
      <c r="C460" s="9">
        <v>259</v>
      </c>
      <c r="D460" s="15">
        <v>0.52400000000000002</v>
      </c>
      <c r="E460" s="9">
        <v>233</v>
      </c>
      <c r="F460" s="9">
        <v>3</v>
      </c>
      <c r="G460" s="9">
        <v>8961</v>
      </c>
      <c r="H460" s="9">
        <f t="shared" si="384"/>
        <v>23</v>
      </c>
      <c r="I460" s="9"/>
      <c r="J460" s="9"/>
      <c r="K460" s="22">
        <f t="shared" si="382"/>
        <v>17101.145038167939</v>
      </c>
      <c r="L460" s="22">
        <f t="shared" si="383"/>
        <v>494.27480916030532</v>
      </c>
      <c r="M460" s="31">
        <f t="shared" si="385"/>
        <v>-0.08</v>
      </c>
      <c r="N460" s="32">
        <f t="shared" si="386"/>
        <v>1.2711864406779662E-2</v>
      </c>
      <c r="O460" s="44">
        <f t="shared" si="387"/>
        <v>5.7251908396946565</v>
      </c>
      <c r="P460" s="50">
        <f t="shared" si="388"/>
        <v>1.1583011583011582E-2</v>
      </c>
      <c r="Q460" s="48">
        <f t="shared" si="389"/>
        <v>43.893129770992367</v>
      </c>
      <c r="R460" s="67">
        <f>G460/H460</f>
        <v>389.60869565217394</v>
      </c>
      <c r="S460" s="92">
        <f t="shared" si="391"/>
        <v>0</v>
      </c>
      <c r="T460" s="93">
        <f t="shared" si="392"/>
        <v>0</v>
      </c>
      <c r="V460" s="99" t="str">
        <f t="shared" si="393"/>
        <v>NFLD</v>
      </c>
      <c r="W460" s="107">
        <f t="shared" si="394"/>
        <v>78.143748939779471</v>
      </c>
      <c r="X460" s="103">
        <f t="shared" si="395"/>
        <v>9.8194335026248487E-3</v>
      </c>
    </row>
    <row r="461" spans="2:24" ht="15" thickBot="1" x14ac:dyDescent="0.35">
      <c r="B461" s="11" t="s">
        <v>10</v>
      </c>
      <c r="C461" s="12">
        <v>60772</v>
      </c>
      <c r="D461" s="16">
        <v>37.6</v>
      </c>
      <c r="E461" s="12">
        <v>26017</v>
      </c>
      <c r="F461" s="12">
        <v>3854</v>
      </c>
      <c r="G461" s="12">
        <f>SUM(G451:G460)</f>
        <v>958059</v>
      </c>
      <c r="H461" s="81">
        <f t="shared" si="384"/>
        <v>30901</v>
      </c>
      <c r="I461" s="111"/>
      <c r="J461" s="111"/>
      <c r="K461" s="77">
        <f t="shared" si="382"/>
        <v>25480.292553191488</v>
      </c>
      <c r="L461" s="23">
        <f t="shared" si="383"/>
        <v>1616.2765957446809</v>
      </c>
      <c r="M461" s="31">
        <f t="shared" si="385"/>
        <v>5.2952601628786587E-2</v>
      </c>
      <c r="N461" s="33">
        <f t="shared" si="386"/>
        <v>0.12902145894010913</v>
      </c>
      <c r="O461" s="45">
        <f>F461/D461</f>
        <v>102.5</v>
      </c>
      <c r="P461" s="53">
        <f t="shared" si="388"/>
        <v>6.3417363259395773E-2</v>
      </c>
      <c r="Q461" s="55">
        <f t="shared" si="389"/>
        <v>821.83510638297867</v>
      </c>
      <c r="R461" s="74">
        <f>G461/H461</f>
        <v>31.004142260768258</v>
      </c>
      <c r="S461" s="92">
        <f t="shared" si="391"/>
        <v>53.962765957446805</v>
      </c>
      <c r="T461" s="93">
        <f t="shared" si="392"/>
        <v>3.8297872340425529</v>
      </c>
      <c r="V461" s="108" t="str">
        <f t="shared" si="393"/>
        <v>Canada</v>
      </c>
      <c r="W461" s="109">
        <f t="shared" si="394"/>
        <v>9.7485120868333759</v>
      </c>
      <c r="X461" s="103">
        <f t="shared" si="395"/>
        <v>2.155035460992908E-2</v>
      </c>
    </row>
    <row r="462" spans="2:24" ht="15" thickBot="1" x14ac:dyDescent="0.35">
      <c r="B462" s="6" t="s">
        <v>9</v>
      </c>
      <c r="C462" s="7">
        <v>1207552</v>
      </c>
      <c r="D462" s="7">
        <v>327</v>
      </c>
      <c r="E462" s="7">
        <v>181918</v>
      </c>
      <c r="F462" s="7">
        <v>69374</v>
      </c>
      <c r="G462" s="7">
        <v>7398148</v>
      </c>
      <c r="H462" s="82">
        <f t="shared" si="384"/>
        <v>956260</v>
      </c>
      <c r="I462" s="112"/>
      <c r="J462" s="112"/>
      <c r="K462" s="78">
        <f t="shared" si="382"/>
        <v>22624.305810397553</v>
      </c>
      <c r="L462" s="24">
        <f t="shared" si="383"/>
        <v>3692.8195718654433</v>
      </c>
      <c r="M462" s="31">
        <f t="shared" si="385"/>
        <v>4.4832544458867078E-2</v>
      </c>
      <c r="N462" s="33">
        <f t="shared" si="386"/>
        <v>0.27606927399200931</v>
      </c>
      <c r="O462" s="46">
        <f>F462/D462</f>
        <v>212.15290519877675</v>
      </c>
      <c r="P462" s="52">
        <f t="shared" si="388"/>
        <v>5.7450113949544204E-2</v>
      </c>
      <c r="Q462" s="54">
        <f t="shared" si="389"/>
        <v>2924.34250764526</v>
      </c>
      <c r="R462" s="72">
        <f>G462/H462</f>
        <v>7.7365444544370776</v>
      </c>
      <c r="S462" s="92">
        <f t="shared" si="391"/>
        <v>84.440366972477065</v>
      </c>
      <c r="T462" s="93">
        <f t="shared" si="392"/>
        <v>3.7507645259938838</v>
      </c>
      <c r="V462" s="108" t="str">
        <f t="shared" si="393"/>
        <v>USA</v>
      </c>
      <c r="W462" s="109">
        <f t="shared" si="394"/>
        <v>20.925896847572805</v>
      </c>
      <c r="X462" s="103">
        <f t="shared" si="395"/>
        <v>5.5453118326715442E-2</v>
      </c>
    </row>
    <row r="463" spans="2:24" ht="15" thickBot="1" x14ac:dyDescent="0.35"/>
    <row r="464" spans="2:24" ht="29.4" thickBot="1" x14ac:dyDescent="0.35">
      <c r="B464" s="96">
        <v>38473</v>
      </c>
      <c r="C464" s="18" t="s">
        <v>8</v>
      </c>
      <c r="D464" s="19" t="s">
        <v>17</v>
      </c>
      <c r="E464" s="19" t="s">
        <v>15</v>
      </c>
      <c r="F464" s="19" t="s">
        <v>16</v>
      </c>
      <c r="G464" s="19" t="s">
        <v>14</v>
      </c>
      <c r="H464" s="19" t="s">
        <v>38</v>
      </c>
      <c r="I464" s="19"/>
      <c r="J464" s="19"/>
      <c r="K464" s="19" t="s">
        <v>21</v>
      </c>
      <c r="L464" s="19" t="s">
        <v>20</v>
      </c>
      <c r="M464" s="19" t="s">
        <v>40</v>
      </c>
      <c r="N464" s="19" t="s">
        <v>32</v>
      </c>
      <c r="O464" s="19" t="s">
        <v>22</v>
      </c>
      <c r="P464" s="51" t="s">
        <v>34</v>
      </c>
      <c r="Q464" s="20" t="s">
        <v>35</v>
      </c>
      <c r="R464" s="63" t="s">
        <v>39</v>
      </c>
      <c r="S464" s="91" t="s">
        <v>43</v>
      </c>
      <c r="T464" s="91" t="s">
        <v>44</v>
      </c>
      <c r="V464" s="104" t="s">
        <v>48</v>
      </c>
      <c r="W464" s="105" t="s">
        <v>49</v>
      </c>
      <c r="X464" s="106" t="s">
        <v>50</v>
      </c>
    </row>
    <row r="465" spans="2:24" x14ac:dyDescent="0.3">
      <c r="B465" s="3" t="s">
        <v>0</v>
      </c>
      <c r="C465" s="1">
        <v>18310</v>
      </c>
      <c r="D465" s="14">
        <v>14.45</v>
      </c>
      <c r="E465" s="1">
        <v>12779</v>
      </c>
      <c r="F465" s="1">
        <v>1361</v>
      </c>
      <c r="G465" s="1">
        <v>352714</v>
      </c>
      <c r="H465" s="1">
        <f>C465-E465-F465</f>
        <v>4170</v>
      </c>
      <c r="I465" s="1"/>
      <c r="J465" s="1"/>
      <c r="K465" s="21">
        <f t="shared" ref="K465:K476" si="396">G465/D465</f>
        <v>24409.273356401387</v>
      </c>
      <c r="L465" s="21">
        <f t="shared" ref="L465:L476" si="397">C465/D465</f>
        <v>1267.128027681661</v>
      </c>
      <c r="M465" s="31">
        <f>(H465-H451)/H451</f>
        <v>1.2627489072365225E-2</v>
      </c>
      <c r="N465" s="31">
        <f>F465/(E465+F465)</f>
        <v>9.625176803394625E-2</v>
      </c>
      <c r="O465" s="43">
        <f>F465/D465</f>
        <v>94.186851211072664</v>
      </c>
      <c r="P465" s="49">
        <f>F465/C465</f>
        <v>7.4330966684871658E-2</v>
      </c>
      <c r="Q465" s="47">
        <f>(C465-E465-F465)/D465</f>
        <v>288.58131487889273</v>
      </c>
      <c r="R465" s="66">
        <f>G465/H465</f>
        <v>84.58369304556355</v>
      </c>
      <c r="S465" s="92">
        <f t="shared" ref="S465:S476" si="398">(C465-C451)/D465</f>
        <v>26.782006920415228</v>
      </c>
      <c r="T465" s="93">
        <f>(F465-F451)/D465</f>
        <v>4.2214532871972317</v>
      </c>
      <c r="V465" s="101" t="str">
        <f>B465</f>
        <v>ON</v>
      </c>
      <c r="W465" s="102">
        <f>C465/D465/180+IFERROR((D465*C465*5)/(F465*F465),400)</f>
        <v>7.7537838724837105</v>
      </c>
      <c r="X465" s="103">
        <f>L465/75000/K465*K$475</f>
        <v>1.7939190339936278E-2</v>
      </c>
    </row>
    <row r="466" spans="2:24" x14ac:dyDescent="0.3">
      <c r="B466" s="5" t="s">
        <v>1</v>
      </c>
      <c r="C466" s="1">
        <v>33417</v>
      </c>
      <c r="D466" s="14">
        <v>8.43</v>
      </c>
      <c r="E466" s="1">
        <v>7923</v>
      </c>
      <c r="F466" s="1">
        <v>2398</v>
      </c>
      <c r="G466" s="1">
        <v>235629</v>
      </c>
      <c r="H466" s="1">
        <f t="shared" ref="H466:H476" si="399">C466-E466-F466</f>
        <v>23096</v>
      </c>
      <c r="I466" s="1"/>
      <c r="J466" s="1"/>
      <c r="K466" s="21">
        <f t="shared" si="396"/>
        <v>27951.245551601423</v>
      </c>
      <c r="L466" s="21">
        <f t="shared" si="397"/>
        <v>3964.0569395017797</v>
      </c>
      <c r="M466" s="31">
        <f t="shared" ref="M466:M476" si="400">(H466-H452)/H452</f>
        <v>1.4539863826048759E-2</v>
      </c>
      <c r="N466" s="31">
        <f t="shared" ref="N466:N476" si="401">F466/(E466+F466)</f>
        <v>0.23234182734231179</v>
      </c>
      <c r="O466" s="43">
        <f t="shared" ref="O466:O474" si="402">F466/D466</f>
        <v>284.46026097271653</v>
      </c>
      <c r="P466" s="49">
        <f t="shared" ref="P466:P476" si="403">F466/C466</f>
        <v>7.1759882694436963E-2</v>
      </c>
      <c r="Q466" s="47">
        <f t="shared" ref="Q466:Q476" si="404">(C466-E466-F466)/D466</f>
        <v>2739.7390272835114</v>
      </c>
      <c r="R466" s="66">
        <f t="shared" ref="R466:R471" si="405">G466/H466</f>
        <v>10.202156217526845</v>
      </c>
      <c r="S466" s="92">
        <f t="shared" si="398"/>
        <v>94.187425860023723</v>
      </c>
      <c r="T466" s="93">
        <f t="shared" ref="T466:T476" si="406">(F466-F452)/D466</f>
        <v>13.997627520759194</v>
      </c>
      <c r="V466" s="98" t="str">
        <f t="shared" ref="V466:V476" si="407">B466</f>
        <v>QC</v>
      </c>
      <c r="W466" s="100">
        <f t="shared" ref="W466:W476" si="408">C466/D466/180+IFERROR((D466*C466*5)/(F466*F466),400)</f>
        <v>22.267482481944644</v>
      </c>
      <c r="X466" s="103">
        <f t="shared" ref="X466:X476" si="409">L466/75000/K466*K$475</f>
        <v>4.9009007804642048E-2</v>
      </c>
    </row>
    <row r="467" spans="2:24" x14ac:dyDescent="0.3">
      <c r="B467" s="5" t="s">
        <v>2</v>
      </c>
      <c r="C467" s="1">
        <v>2232</v>
      </c>
      <c r="D467" s="14">
        <v>5.0199999999999996</v>
      </c>
      <c r="E467" s="1">
        <v>1472</v>
      </c>
      <c r="F467" s="1">
        <v>121</v>
      </c>
      <c r="G467" s="1">
        <v>98199</v>
      </c>
      <c r="H467" s="1">
        <f t="shared" si="399"/>
        <v>639</v>
      </c>
      <c r="I467" s="1"/>
      <c r="J467" s="1"/>
      <c r="K467" s="21">
        <f t="shared" si="396"/>
        <v>19561.55378486056</v>
      </c>
      <c r="L467" s="21">
        <f t="shared" si="397"/>
        <v>444.62151394422312</v>
      </c>
      <c r="M467" s="31">
        <f t="shared" si="400"/>
        <v>-7.3913043478260873E-2</v>
      </c>
      <c r="N467" s="31">
        <f t="shared" si="401"/>
        <v>7.595731324544884E-2</v>
      </c>
      <c r="O467" s="43">
        <f t="shared" si="402"/>
        <v>24.10358565737052</v>
      </c>
      <c r="P467" s="49">
        <f t="shared" si="403"/>
        <v>5.4211469534050177E-2</v>
      </c>
      <c r="Q467" s="47">
        <f t="shared" si="404"/>
        <v>127.29083665338646</v>
      </c>
      <c r="R467" s="66">
        <f t="shared" si="405"/>
        <v>153.67605633802816</v>
      </c>
      <c r="S467" s="92">
        <f t="shared" si="398"/>
        <v>1.5936254980079683</v>
      </c>
      <c r="T467" s="93">
        <f t="shared" si="406"/>
        <v>0.79681274900398413</v>
      </c>
      <c r="V467" s="98" t="str">
        <f t="shared" si="407"/>
        <v>BC</v>
      </c>
      <c r="W467" s="100">
        <f t="shared" si="408"/>
        <v>6.2965794631731935</v>
      </c>
      <c r="X467" s="103">
        <f t="shared" si="409"/>
        <v>7.854604404040167E-3</v>
      </c>
    </row>
    <row r="468" spans="2:24" x14ac:dyDescent="0.3">
      <c r="B468" s="5" t="s">
        <v>3</v>
      </c>
      <c r="C468" s="1">
        <v>5893</v>
      </c>
      <c r="D468" s="14">
        <v>4.34</v>
      </c>
      <c r="E468" s="1">
        <v>3219</v>
      </c>
      <c r="F468" s="1">
        <v>106</v>
      </c>
      <c r="G468" s="1">
        <v>167015</v>
      </c>
      <c r="H468" s="1">
        <f t="shared" si="399"/>
        <v>2568</v>
      </c>
      <c r="I468" s="1"/>
      <c r="J468" s="1"/>
      <c r="K468" s="21">
        <f t="shared" si="396"/>
        <v>38482.718894009216</v>
      </c>
      <c r="L468" s="21">
        <f t="shared" si="397"/>
        <v>1357.8341013824886</v>
      </c>
      <c r="M468" s="31">
        <f t="shared" si="400"/>
        <v>-8.8391906283280086E-2</v>
      </c>
      <c r="N468" s="31">
        <f t="shared" si="401"/>
        <v>3.18796992481203E-2</v>
      </c>
      <c r="O468" s="43">
        <f t="shared" si="402"/>
        <v>24.423963133640555</v>
      </c>
      <c r="P468" s="49">
        <f t="shared" si="403"/>
        <v>1.7987442728661124E-2</v>
      </c>
      <c r="Q468" s="47">
        <f t="shared" si="404"/>
        <v>591.70506912442397</v>
      </c>
      <c r="R468" s="66">
        <f t="shared" si="405"/>
        <v>65.036993769470399</v>
      </c>
      <c r="S468" s="92">
        <f t="shared" si="398"/>
        <v>6.9124423963133639</v>
      </c>
      <c r="T468" s="93">
        <f t="shared" si="406"/>
        <v>0.46082949308755761</v>
      </c>
      <c r="V468" s="98" t="str">
        <f t="shared" si="407"/>
        <v>AL</v>
      </c>
      <c r="W468" s="100">
        <f t="shared" si="408"/>
        <v>18.924628161036765</v>
      </c>
      <c r="X468" s="103">
        <f t="shared" si="409"/>
        <v>1.2193212844728985E-2</v>
      </c>
    </row>
    <row r="469" spans="2:24" x14ac:dyDescent="0.3">
      <c r="B469" s="5" t="s">
        <v>4</v>
      </c>
      <c r="C469" s="1">
        <v>282</v>
      </c>
      <c r="D469" s="14">
        <v>1.36</v>
      </c>
      <c r="E469" s="1">
        <v>238</v>
      </c>
      <c r="F469" s="1">
        <v>7</v>
      </c>
      <c r="G469" s="1">
        <v>27775</v>
      </c>
      <c r="H469" s="1">
        <f t="shared" si="399"/>
        <v>37</v>
      </c>
      <c r="I469" s="1"/>
      <c r="J469" s="1"/>
      <c r="K469" s="21">
        <f t="shared" si="396"/>
        <v>20422.794117647056</v>
      </c>
      <c r="L469" s="21">
        <f t="shared" si="397"/>
        <v>207.35294117647058</v>
      </c>
      <c r="M469" s="31">
        <f t="shared" si="400"/>
        <v>0</v>
      </c>
      <c r="N469" s="31">
        <f t="shared" si="401"/>
        <v>2.8571428571428571E-2</v>
      </c>
      <c r="O469" s="43">
        <f t="shared" si="402"/>
        <v>5.1470588235294112</v>
      </c>
      <c r="P469" s="49">
        <f t="shared" si="403"/>
        <v>2.4822695035460994E-2</v>
      </c>
      <c r="Q469" s="47">
        <f t="shared" si="404"/>
        <v>27.205882352941174</v>
      </c>
      <c r="R469" s="66">
        <f t="shared" si="405"/>
        <v>750.67567567567562</v>
      </c>
      <c r="S469" s="92">
        <f t="shared" si="398"/>
        <v>0.73529411764705876</v>
      </c>
      <c r="T469" s="93">
        <f t="shared" si="406"/>
        <v>0.73529411764705876</v>
      </c>
      <c r="V469" s="98" t="str">
        <f t="shared" si="407"/>
        <v>MA</v>
      </c>
      <c r="W469" s="100">
        <f t="shared" si="408"/>
        <v>40.286654661864745</v>
      </c>
      <c r="X469" s="103">
        <f t="shared" si="409"/>
        <v>3.5085868586858695E-3</v>
      </c>
    </row>
    <row r="470" spans="2:24" x14ac:dyDescent="0.3">
      <c r="B470" s="5" t="s">
        <v>5</v>
      </c>
      <c r="C470" s="1">
        <v>487</v>
      </c>
      <c r="D470" s="14">
        <v>1.17</v>
      </c>
      <c r="E470" s="1">
        <v>310</v>
      </c>
      <c r="F470" s="1">
        <v>6</v>
      </c>
      <c r="G470" s="1">
        <v>32921</v>
      </c>
      <c r="H470" s="1">
        <f t="shared" si="399"/>
        <v>171</v>
      </c>
      <c r="I470" s="1"/>
      <c r="J470" s="1"/>
      <c r="K470" s="21">
        <f t="shared" si="396"/>
        <v>28137.60683760684</v>
      </c>
      <c r="L470" s="21">
        <f t="shared" si="397"/>
        <v>416.23931623931628</v>
      </c>
      <c r="M470" s="31">
        <f t="shared" si="400"/>
        <v>0.11038961038961038</v>
      </c>
      <c r="N470" s="31">
        <f t="shared" si="401"/>
        <v>1.8987341772151899E-2</v>
      </c>
      <c r="O470" s="43">
        <f t="shared" si="402"/>
        <v>5.1282051282051286</v>
      </c>
      <c r="P470" s="49">
        <f t="shared" si="403"/>
        <v>1.2320328542094456E-2</v>
      </c>
      <c r="Q470" s="47">
        <f t="shared" si="404"/>
        <v>146.15384615384616</v>
      </c>
      <c r="R470" s="66">
        <f t="shared" si="405"/>
        <v>192.5204678362573</v>
      </c>
      <c r="S470" s="92">
        <f t="shared" si="398"/>
        <v>17.094017094017094</v>
      </c>
      <c r="T470" s="93">
        <f t="shared" si="406"/>
        <v>0</v>
      </c>
      <c r="V470" s="98" t="str">
        <f t="shared" si="407"/>
        <v>SA</v>
      </c>
      <c r="W470" s="100">
        <f t="shared" si="408"/>
        <v>81.449940645773964</v>
      </c>
      <c r="X470" s="103">
        <f t="shared" si="409"/>
        <v>5.1120269435039091E-3</v>
      </c>
    </row>
    <row r="471" spans="2:24" x14ac:dyDescent="0.3">
      <c r="B471" s="5" t="s">
        <v>6</v>
      </c>
      <c r="C471" s="1">
        <v>991</v>
      </c>
      <c r="D471" s="14">
        <v>0.96499999999999997</v>
      </c>
      <c r="E471" s="1">
        <v>652</v>
      </c>
      <c r="F471" s="1">
        <v>41</v>
      </c>
      <c r="G471" s="1">
        <f>30984+C471</f>
        <v>31975</v>
      </c>
      <c r="H471" s="1">
        <f t="shared" si="399"/>
        <v>298</v>
      </c>
      <c r="I471" s="1"/>
      <c r="J471" s="1"/>
      <c r="K471" s="21">
        <f t="shared" si="396"/>
        <v>33134.715025906735</v>
      </c>
      <c r="L471" s="21">
        <f t="shared" si="397"/>
        <v>1026.9430051813472</v>
      </c>
      <c r="M471" s="31">
        <f t="shared" si="400"/>
        <v>-3.5598705501618123E-2</v>
      </c>
      <c r="N471" s="31">
        <f t="shared" si="401"/>
        <v>5.916305916305916E-2</v>
      </c>
      <c r="O471" s="43">
        <f t="shared" si="402"/>
        <v>42.487046632124354</v>
      </c>
      <c r="P471" s="49">
        <f t="shared" si="403"/>
        <v>4.1372351160443993E-2</v>
      </c>
      <c r="Q471" s="47">
        <f t="shared" si="404"/>
        <v>308.80829015544043</v>
      </c>
      <c r="R471" s="66">
        <f t="shared" si="405"/>
        <v>107.29865771812081</v>
      </c>
      <c r="S471" s="92">
        <f t="shared" si="398"/>
        <v>6.2176165803108807</v>
      </c>
      <c r="T471" s="93">
        <f t="shared" si="406"/>
        <v>3.1088082901554404</v>
      </c>
      <c r="V471" s="98" t="str">
        <f t="shared" si="407"/>
        <v>NS</v>
      </c>
      <c r="W471" s="100">
        <f t="shared" si="408"/>
        <v>8.5497213685962219</v>
      </c>
      <c r="X471" s="103">
        <f t="shared" si="409"/>
        <v>1.0710266886253114E-2</v>
      </c>
    </row>
    <row r="472" spans="2:24" x14ac:dyDescent="0.3">
      <c r="B472" s="5" t="s">
        <v>7</v>
      </c>
      <c r="C472" s="1">
        <v>119</v>
      </c>
      <c r="D472" s="14">
        <v>0.77200000000000002</v>
      </c>
      <c r="E472" s="1">
        <v>118</v>
      </c>
      <c r="F472" s="1">
        <v>0</v>
      </c>
      <c r="G472" s="1">
        <v>15756</v>
      </c>
      <c r="H472" s="1">
        <f t="shared" si="399"/>
        <v>1</v>
      </c>
      <c r="I472" s="1"/>
      <c r="J472" s="1"/>
      <c r="K472" s="21">
        <f t="shared" si="396"/>
        <v>20409.326424870465</v>
      </c>
      <c r="L472" s="21">
        <f t="shared" si="397"/>
        <v>154.14507772020724</v>
      </c>
      <c r="M472" s="31">
        <v>0</v>
      </c>
      <c r="N472" s="31">
        <f t="shared" si="401"/>
        <v>0</v>
      </c>
      <c r="O472" s="43">
        <f t="shared" si="402"/>
        <v>0</v>
      </c>
      <c r="P472" s="49">
        <f t="shared" si="403"/>
        <v>0</v>
      </c>
      <c r="Q472" s="47">
        <f t="shared" si="404"/>
        <v>1.2953367875647668</v>
      </c>
      <c r="R472" s="66">
        <f>IFERROR(G472/H472,15000)</f>
        <v>15756</v>
      </c>
      <c r="S472" s="92">
        <f t="shared" si="398"/>
        <v>1.2953367875647668</v>
      </c>
      <c r="T472" s="93">
        <f t="shared" si="406"/>
        <v>0</v>
      </c>
      <c r="V472" s="98" t="str">
        <f t="shared" si="407"/>
        <v>NB</v>
      </c>
      <c r="W472" s="100">
        <f t="shared" si="408"/>
        <v>400.85636154289006</v>
      </c>
      <c r="X472" s="103">
        <f t="shared" si="409"/>
        <v>2.6099860190601709E-3</v>
      </c>
    </row>
    <row r="473" spans="2:24" x14ac:dyDescent="0.3">
      <c r="B473" s="5" t="s">
        <v>18</v>
      </c>
      <c r="C473" s="9">
        <v>27</v>
      </c>
      <c r="D473" s="15">
        <v>0.154</v>
      </c>
      <c r="E473" s="9">
        <v>25</v>
      </c>
      <c r="F473" s="9">
        <v>0</v>
      </c>
      <c r="G473" s="9">
        <v>3387</v>
      </c>
      <c r="H473" s="1">
        <f t="shared" si="399"/>
        <v>2</v>
      </c>
      <c r="I473" s="9"/>
      <c r="J473" s="9"/>
      <c r="K473" s="22">
        <f t="shared" si="396"/>
        <v>21993.506493506495</v>
      </c>
      <c r="L473" s="22">
        <f t="shared" si="397"/>
        <v>175.32467532467533</v>
      </c>
      <c r="M473" s="31">
        <f t="shared" si="400"/>
        <v>0</v>
      </c>
      <c r="N473" s="31">
        <f t="shared" si="401"/>
        <v>0</v>
      </c>
      <c r="O473" s="44">
        <f t="shared" si="402"/>
        <v>0</v>
      </c>
      <c r="P473" s="49">
        <f t="shared" si="403"/>
        <v>0</v>
      </c>
      <c r="Q473" s="47">
        <f t="shared" si="404"/>
        <v>12.987012987012987</v>
      </c>
      <c r="R473" s="66">
        <f>G473/H473</f>
        <v>1693.5</v>
      </c>
      <c r="S473" s="92">
        <f t="shared" si="398"/>
        <v>0</v>
      </c>
      <c r="T473" s="93">
        <f t="shared" si="406"/>
        <v>0</v>
      </c>
      <c r="V473" s="98" t="str">
        <f t="shared" si="407"/>
        <v>PEI</v>
      </c>
      <c r="W473" s="100">
        <f t="shared" si="408"/>
        <v>400.97402597402595</v>
      </c>
      <c r="X473" s="103">
        <f t="shared" si="409"/>
        <v>2.7547726287620376E-3</v>
      </c>
    </row>
    <row r="474" spans="2:24" ht="15" thickBot="1" x14ac:dyDescent="0.35">
      <c r="B474" s="5" t="s">
        <v>11</v>
      </c>
      <c r="C474" s="9">
        <v>259</v>
      </c>
      <c r="D474" s="15">
        <v>0.52400000000000002</v>
      </c>
      <c r="E474" s="9">
        <v>241</v>
      </c>
      <c r="F474" s="9">
        <v>3</v>
      </c>
      <c r="G474" s="9">
        <v>9139</v>
      </c>
      <c r="H474" s="9">
        <f t="shared" si="399"/>
        <v>15</v>
      </c>
      <c r="I474" s="9"/>
      <c r="J474" s="9"/>
      <c r="K474" s="22">
        <f t="shared" si="396"/>
        <v>17440.839694656486</v>
      </c>
      <c r="L474" s="22">
        <f t="shared" si="397"/>
        <v>494.27480916030532</v>
      </c>
      <c r="M474" s="31">
        <f t="shared" si="400"/>
        <v>-0.34782608695652173</v>
      </c>
      <c r="N474" s="32">
        <f t="shared" si="401"/>
        <v>1.2295081967213115E-2</v>
      </c>
      <c r="O474" s="44">
        <f t="shared" si="402"/>
        <v>5.7251908396946565</v>
      </c>
      <c r="P474" s="50">
        <f t="shared" si="403"/>
        <v>1.1583011583011582E-2</v>
      </c>
      <c r="Q474" s="48">
        <f t="shared" si="404"/>
        <v>28.625954198473281</v>
      </c>
      <c r="R474" s="67">
        <f>G474/H474</f>
        <v>609.26666666666665</v>
      </c>
      <c r="S474" s="92">
        <f t="shared" si="398"/>
        <v>0</v>
      </c>
      <c r="T474" s="93">
        <f t="shared" si="406"/>
        <v>0</v>
      </c>
      <c r="V474" s="99" t="str">
        <f t="shared" si="407"/>
        <v>NFLD</v>
      </c>
      <c r="W474" s="107">
        <f t="shared" si="408"/>
        <v>78.143748939779471</v>
      </c>
      <c r="X474" s="103">
        <f t="shared" si="409"/>
        <v>9.7935079105291884E-3</v>
      </c>
    </row>
    <row r="475" spans="2:24" ht="15" thickBot="1" x14ac:dyDescent="0.35">
      <c r="B475" s="11" t="s">
        <v>10</v>
      </c>
      <c r="C475" s="12">
        <v>62046</v>
      </c>
      <c r="D475" s="16">
        <v>37.6</v>
      </c>
      <c r="E475" s="12">
        <v>26993</v>
      </c>
      <c r="F475" s="12">
        <v>4043</v>
      </c>
      <c r="G475" s="12">
        <f>SUM(G465:G474)</f>
        <v>974510</v>
      </c>
      <c r="H475" s="81">
        <f t="shared" si="399"/>
        <v>31010</v>
      </c>
      <c r="I475" s="111"/>
      <c r="J475" s="111"/>
      <c r="K475" s="77">
        <f t="shared" si="396"/>
        <v>25917.819148936171</v>
      </c>
      <c r="L475" s="23">
        <f t="shared" si="397"/>
        <v>1650.1595744680851</v>
      </c>
      <c r="M475" s="31">
        <f t="shared" si="400"/>
        <v>3.5273939354713438E-3</v>
      </c>
      <c r="N475" s="33">
        <f t="shared" si="401"/>
        <v>0.13026807578296173</v>
      </c>
      <c r="O475" s="45">
        <f>F475/D475</f>
        <v>107.52659574468085</v>
      </c>
      <c r="P475" s="53">
        <f t="shared" si="403"/>
        <v>6.516133191503079E-2</v>
      </c>
      <c r="Q475" s="55">
        <f t="shared" si="404"/>
        <v>824.73404255319144</v>
      </c>
      <c r="R475" s="74">
        <f>G475/H475</f>
        <v>31.425669138987423</v>
      </c>
      <c r="S475" s="92">
        <f t="shared" si="398"/>
        <v>33.882978723404257</v>
      </c>
      <c r="T475" s="93">
        <f t="shared" si="406"/>
        <v>5.0265957446808507</v>
      </c>
      <c r="V475" s="108" t="str">
        <f t="shared" si="407"/>
        <v>Canada</v>
      </c>
      <c r="W475" s="109">
        <f t="shared" si="408"/>
        <v>9.8811684952891206</v>
      </c>
      <c r="X475" s="103">
        <f t="shared" si="409"/>
        <v>2.2002127659574468E-2</v>
      </c>
    </row>
    <row r="476" spans="2:24" ht="15" thickBot="1" x14ac:dyDescent="0.35">
      <c r="B476" s="6" t="s">
        <v>9</v>
      </c>
      <c r="C476" s="7">
        <v>1226613</v>
      </c>
      <c r="D476" s="7">
        <v>327</v>
      </c>
      <c r="E476" s="7">
        <v>198935</v>
      </c>
      <c r="F476" s="7">
        <v>71372</v>
      </c>
      <c r="G476" s="7">
        <v>7622575</v>
      </c>
      <c r="H476" s="82">
        <f t="shared" si="399"/>
        <v>956306</v>
      </c>
      <c r="I476" s="112"/>
      <c r="J476" s="112"/>
      <c r="K476" s="78">
        <f t="shared" si="396"/>
        <v>23310.626911314987</v>
      </c>
      <c r="L476" s="24">
        <f t="shared" si="397"/>
        <v>3751.1100917431195</v>
      </c>
      <c r="M476" s="31">
        <f t="shared" si="400"/>
        <v>4.8104072114278544E-5</v>
      </c>
      <c r="N476" s="33">
        <f t="shared" si="401"/>
        <v>0.26404051689375413</v>
      </c>
      <c r="O476" s="46">
        <f>F476/D476</f>
        <v>218.26299694189603</v>
      </c>
      <c r="P476" s="52">
        <f t="shared" si="403"/>
        <v>5.8186241300230798E-2</v>
      </c>
      <c r="Q476" s="54">
        <f t="shared" si="404"/>
        <v>2924.4831804281343</v>
      </c>
      <c r="R476" s="72">
        <f>G476/H476</f>
        <v>7.9708534715875459</v>
      </c>
      <c r="S476" s="92">
        <f t="shared" si="398"/>
        <v>58.290519877675841</v>
      </c>
      <c r="T476" s="93">
        <f t="shared" si="406"/>
        <v>6.1100917431192663</v>
      </c>
      <c r="V476" s="108" t="str">
        <f t="shared" si="407"/>
        <v>USA</v>
      </c>
      <c r="W476" s="109">
        <f t="shared" si="408"/>
        <v>21.233204291498183</v>
      </c>
      <c r="X476" s="103">
        <f t="shared" si="409"/>
        <v>5.5608739216050647E-2</v>
      </c>
    </row>
    <row r="477" spans="2:24" ht="15" thickBot="1" x14ac:dyDescent="0.35"/>
    <row r="478" spans="2:24" ht="29.4" thickBot="1" x14ac:dyDescent="0.35">
      <c r="B478" s="96">
        <v>38838</v>
      </c>
      <c r="C478" s="18" t="s">
        <v>8</v>
      </c>
      <c r="D478" s="19" t="s">
        <v>17</v>
      </c>
      <c r="E478" s="19" t="s">
        <v>15</v>
      </c>
      <c r="F478" s="19" t="s">
        <v>16</v>
      </c>
      <c r="G478" s="19" t="s">
        <v>14</v>
      </c>
      <c r="H478" s="19" t="s">
        <v>38</v>
      </c>
      <c r="I478" s="19"/>
      <c r="J478" s="19"/>
      <c r="K478" s="19" t="s">
        <v>21</v>
      </c>
      <c r="L478" s="19" t="s">
        <v>20</v>
      </c>
      <c r="M478" s="19" t="s">
        <v>40</v>
      </c>
      <c r="N478" s="19" t="s">
        <v>32</v>
      </c>
      <c r="O478" s="19" t="s">
        <v>22</v>
      </c>
      <c r="P478" s="51" t="s">
        <v>34</v>
      </c>
      <c r="Q478" s="20" t="s">
        <v>35</v>
      </c>
      <c r="R478" s="63" t="s">
        <v>39</v>
      </c>
      <c r="S478" s="91" t="s">
        <v>43</v>
      </c>
      <c r="T478" s="91" t="s">
        <v>44</v>
      </c>
      <c r="V478" s="104" t="s">
        <v>48</v>
      </c>
      <c r="W478" s="105" t="s">
        <v>49</v>
      </c>
      <c r="X478" s="106" t="s">
        <v>50</v>
      </c>
    </row>
    <row r="479" spans="2:24" x14ac:dyDescent="0.3">
      <c r="B479" s="3" t="s">
        <v>0</v>
      </c>
      <c r="C479" s="1">
        <v>18722</v>
      </c>
      <c r="D479" s="14">
        <v>14.45</v>
      </c>
      <c r="E479" s="1">
        <v>13222</v>
      </c>
      <c r="F479" s="1">
        <v>1429</v>
      </c>
      <c r="G479" s="1">
        <v>365675</v>
      </c>
      <c r="H479" s="1">
        <f>C479-E479-F479</f>
        <v>4071</v>
      </c>
      <c r="I479" s="1"/>
      <c r="J479" s="1"/>
      <c r="K479" s="21">
        <f t="shared" ref="K479:K490" si="410">G479/D479</f>
        <v>25306.228373702423</v>
      </c>
      <c r="L479" s="21">
        <f t="shared" ref="L479:L490" si="411">C479/D479</f>
        <v>1295.6401384083047</v>
      </c>
      <c r="M479" s="31">
        <f>(H479-H465)/H465</f>
        <v>-2.3741007194244605E-2</v>
      </c>
      <c r="N479" s="31">
        <f>F479/(E479+F479)</f>
        <v>9.7536004368302509E-2</v>
      </c>
      <c r="O479" s="43">
        <f>F479/D479</f>
        <v>98.892733564013852</v>
      </c>
      <c r="P479" s="49">
        <f>F479/C479</f>
        <v>7.6327315457750247E-2</v>
      </c>
      <c r="Q479" s="47">
        <f>(C479-E479-F479)/D479</f>
        <v>281.73010380622839</v>
      </c>
      <c r="R479" s="66">
        <f>G479/H479</f>
        <v>89.824367477278315</v>
      </c>
      <c r="S479" s="92">
        <f t="shared" ref="S479:S490" si="412">(C479-C465)/D479</f>
        <v>28.512110726643598</v>
      </c>
      <c r="T479" s="93">
        <f>(F479-F465)/D479</f>
        <v>4.7058823529411766</v>
      </c>
      <c r="V479" s="101" t="str">
        <f>B479</f>
        <v>ON</v>
      </c>
      <c r="W479" s="102">
        <f>C479/D479/180+IFERROR((D479*C479*5)/(F479*F479),400)</f>
        <v>7.8604088694579834</v>
      </c>
      <c r="X479" s="103">
        <f>L479/75000/K479*K$489</f>
        <v>1.8073476986841103E-2</v>
      </c>
    </row>
    <row r="480" spans="2:24" x14ac:dyDescent="0.3">
      <c r="B480" s="5" t="s">
        <v>1</v>
      </c>
      <c r="C480" s="1">
        <v>34327</v>
      </c>
      <c r="D480" s="14">
        <v>8.43</v>
      </c>
      <c r="E480" s="1">
        <v>8284</v>
      </c>
      <c r="F480" s="1">
        <v>2510</v>
      </c>
      <c r="G480" s="1">
        <v>235629</v>
      </c>
      <c r="H480" s="1">
        <f t="shared" ref="H480:H490" si="413">C480-E480-F480</f>
        <v>23533</v>
      </c>
      <c r="I480" s="1"/>
      <c r="J480" s="1"/>
      <c r="K480" s="21">
        <f t="shared" si="410"/>
        <v>27951.245551601423</v>
      </c>
      <c r="L480" s="21">
        <f t="shared" si="411"/>
        <v>4072.0047449584818</v>
      </c>
      <c r="M480" s="31">
        <f t="shared" ref="M480:M490" si="414">(H480-H466)/H466</f>
        <v>1.8921025285763768E-2</v>
      </c>
      <c r="N480" s="31">
        <f t="shared" ref="N480:N490" si="415">F480/(E480+F480)</f>
        <v>0.23253659440429869</v>
      </c>
      <c r="O480" s="43">
        <f t="shared" ref="O480:O488" si="416">F480/D480</f>
        <v>297.74614472123369</v>
      </c>
      <c r="P480" s="49">
        <f t="shared" ref="P480:P490" si="417">F480/C480</f>
        <v>7.3120284324292836E-2</v>
      </c>
      <c r="Q480" s="47">
        <f t="shared" ref="Q480:Q490" si="418">(C480-E480-F480)/D480</f>
        <v>2791.5776986951364</v>
      </c>
      <c r="R480" s="66">
        <f t="shared" ref="R480:R485" si="419">G480/H480</f>
        <v>10.012705562401734</v>
      </c>
      <c r="S480" s="92">
        <f t="shared" si="412"/>
        <v>107.94780545670226</v>
      </c>
      <c r="T480" s="93">
        <f t="shared" ref="T480:T490" si="420">(F480-F466)/D480</f>
        <v>13.2858837485172</v>
      </c>
      <c r="V480" s="98" t="str">
        <f t="shared" ref="V480:V490" si="421">B480</f>
        <v>QC</v>
      </c>
      <c r="W480" s="100">
        <f t="shared" ref="W480:W490" si="422">C480/D480/180+IFERROR((D480*C480*5)/(F480*F480),400)</f>
        <v>22.851908913891076</v>
      </c>
      <c r="X480" s="103">
        <f t="shared" ref="X480:X490" si="423">L480/75000/K480*K$489</f>
        <v>5.142707804211627E-2</v>
      </c>
    </row>
    <row r="481" spans="2:24" x14ac:dyDescent="0.3">
      <c r="B481" s="5" t="s">
        <v>2</v>
      </c>
      <c r="C481" s="1">
        <v>2255</v>
      </c>
      <c r="D481" s="14">
        <v>5.0199999999999996</v>
      </c>
      <c r="E481" s="1">
        <v>1494</v>
      </c>
      <c r="F481" s="1">
        <v>124</v>
      </c>
      <c r="G481" s="1">
        <v>100093</v>
      </c>
      <c r="H481" s="1">
        <f t="shared" si="413"/>
        <v>637</v>
      </c>
      <c r="I481" s="1"/>
      <c r="J481" s="1"/>
      <c r="K481" s="21">
        <f t="shared" si="410"/>
        <v>19938.844621513945</v>
      </c>
      <c r="L481" s="21">
        <f t="shared" si="411"/>
        <v>449.20318725099605</v>
      </c>
      <c r="M481" s="31">
        <f t="shared" si="414"/>
        <v>-3.1298904538341159E-3</v>
      </c>
      <c r="N481" s="31">
        <f t="shared" si="415"/>
        <v>7.6637824474660068E-2</v>
      </c>
      <c r="O481" s="43">
        <f t="shared" si="416"/>
        <v>24.701195219123509</v>
      </c>
      <c r="P481" s="49">
        <f t="shared" si="417"/>
        <v>5.4988913525498895E-2</v>
      </c>
      <c r="Q481" s="47">
        <f t="shared" si="418"/>
        <v>126.89243027888448</v>
      </c>
      <c r="R481" s="66">
        <f t="shared" si="419"/>
        <v>157.13186813186815</v>
      </c>
      <c r="S481" s="92">
        <f t="shared" si="412"/>
        <v>4.5816733067729087</v>
      </c>
      <c r="T481" s="93">
        <f t="shared" si="420"/>
        <v>0.59760956175298807</v>
      </c>
      <c r="V481" s="98" t="str">
        <f t="shared" si="421"/>
        <v>BC</v>
      </c>
      <c r="W481" s="100">
        <f t="shared" si="422"/>
        <v>6.1766671750965845</v>
      </c>
      <c r="X481" s="103">
        <f t="shared" si="423"/>
        <v>7.9529376863913728E-3</v>
      </c>
    </row>
    <row r="482" spans="2:24" x14ac:dyDescent="0.3">
      <c r="B482" s="5" t="s">
        <v>3</v>
      </c>
      <c r="C482" s="1">
        <v>5963</v>
      </c>
      <c r="D482" s="14">
        <v>4.34</v>
      </c>
      <c r="E482" s="1">
        <v>3552</v>
      </c>
      <c r="F482" s="1">
        <v>112</v>
      </c>
      <c r="G482" s="1">
        <v>170509</v>
      </c>
      <c r="H482" s="1">
        <f t="shared" si="413"/>
        <v>2299</v>
      </c>
      <c r="I482" s="1"/>
      <c r="J482" s="1"/>
      <c r="K482" s="21">
        <f t="shared" si="410"/>
        <v>39287.788018433181</v>
      </c>
      <c r="L482" s="21">
        <f t="shared" si="411"/>
        <v>1373.963133640553</v>
      </c>
      <c r="M482" s="31">
        <f t="shared" si="414"/>
        <v>-0.10475077881619937</v>
      </c>
      <c r="N482" s="31">
        <f t="shared" si="415"/>
        <v>3.0567685589519649E-2</v>
      </c>
      <c r="O482" s="43">
        <f t="shared" si="416"/>
        <v>25.806451612903228</v>
      </c>
      <c r="P482" s="49">
        <f t="shared" si="417"/>
        <v>1.8782492034210969E-2</v>
      </c>
      <c r="Q482" s="47">
        <f t="shared" si="418"/>
        <v>529.72350230414747</v>
      </c>
      <c r="R482" s="66">
        <f t="shared" si="419"/>
        <v>74.166594171378861</v>
      </c>
      <c r="S482" s="92">
        <f t="shared" si="412"/>
        <v>16.129032258064516</v>
      </c>
      <c r="T482" s="93">
        <f t="shared" si="420"/>
        <v>1.3824884792626728</v>
      </c>
      <c r="V482" s="98" t="str">
        <f t="shared" si="421"/>
        <v>AL</v>
      </c>
      <c r="W482" s="100">
        <f t="shared" si="422"/>
        <v>17.948586109511009</v>
      </c>
      <c r="X482" s="103">
        <f t="shared" si="423"/>
        <v>1.234531687123356E-2</v>
      </c>
    </row>
    <row r="483" spans="2:24" x14ac:dyDescent="0.3">
      <c r="B483" s="5" t="s">
        <v>4</v>
      </c>
      <c r="C483" s="1">
        <v>283</v>
      </c>
      <c r="D483" s="14">
        <v>1.36</v>
      </c>
      <c r="E483" s="1">
        <v>242</v>
      </c>
      <c r="F483" s="1">
        <v>7</v>
      </c>
      <c r="G483" s="1">
        <v>28294</v>
      </c>
      <c r="H483" s="1">
        <f t="shared" si="413"/>
        <v>34</v>
      </c>
      <c r="I483" s="1"/>
      <c r="J483" s="1"/>
      <c r="K483" s="21">
        <f t="shared" si="410"/>
        <v>20804.411764705881</v>
      </c>
      <c r="L483" s="21">
        <f t="shared" si="411"/>
        <v>208.08823529411762</v>
      </c>
      <c r="M483" s="31">
        <f t="shared" si="414"/>
        <v>-8.1081081081081086E-2</v>
      </c>
      <c r="N483" s="31">
        <f t="shared" si="415"/>
        <v>2.8112449799196786E-2</v>
      </c>
      <c r="O483" s="43">
        <f t="shared" si="416"/>
        <v>5.1470588235294112</v>
      </c>
      <c r="P483" s="49">
        <f t="shared" si="417"/>
        <v>2.4734982332155476E-2</v>
      </c>
      <c r="Q483" s="47">
        <f t="shared" si="418"/>
        <v>24.999999999999996</v>
      </c>
      <c r="R483" s="66">
        <f t="shared" si="419"/>
        <v>832.17647058823525</v>
      </c>
      <c r="S483" s="92">
        <f t="shared" si="412"/>
        <v>0.73529411764705876</v>
      </c>
      <c r="T483" s="93">
        <f t="shared" si="420"/>
        <v>0</v>
      </c>
      <c r="V483" s="98" t="str">
        <f t="shared" si="421"/>
        <v>MA</v>
      </c>
      <c r="W483" s="100">
        <f t="shared" si="422"/>
        <v>40.429515139389096</v>
      </c>
      <c r="X483" s="103">
        <f t="shared" si="423"/>
        <v>3.5308301461804041E-3</v>
      </c>
    </row>
    <row r="484" spans="2:24" x14ac:dyDescent="0.3">
      <c r="B484" s="5" t="s">
        <v>5</v>
      </c>
      <c r="C484" s="1">
        <v>512</v>
      </c>
      <c r="D484" s="14">
        <v>1.17</v>
      </c>
      <c r="E484" s="1">
        <v>312</v>
      </c>
      <c r="F484" s="1">
        <v>6</v>
      </c>
      <c r="G484" s="1">
        <v>33591</v>
      </c>
      <c r="H484" s="1">
        <f t="shared" si="413"/>
        <v>194</v>
      </c>
      <c r="I484" s="1"/>
      <c r="J484" s="1"/>
      <c r="K484" s="21">
        <f t="shared" si="410"/>
        <v>28710.256410256414</v>
      </c>
      <c r="L484" s="21">
        <f t="shared" si="411"/>
        <v>437.60683760683764</v>
      </c>
      <c r="M484" s="31">
        <f t="shared" si="414"/>
        <v>0.13450292397660818</v>
      </c>
      <c r="N484" s="31">
        <f t="shared" si="415"/>
        <v>1.8867924528301886E-2</v>
      </c>
      <c r="O484" s="43">
        <f t="shared" si="416"/>
        <v>5.1282051282051286</v>
      </c>
      <c r="P484" s="49">
        <f t="shared" si="417"/>
        <v>1.171875E-2</v>
      </c>
      <c r="Q484" s="47">
        <f t="shared" si="418"/>
        <v>165.81196581196582</v>
      </c>
      <c r="R484" s="66">
        <f t="shared" si="419"/>
        <v>173.14948453608247</v>
      </c>
      <c r="S484" s="92">
        <f t="shared" si="412"/>
        <v>21.36752136752137</v>
      </c>
      <c r="T484" s="93">
        <f t="shared" si="420"/>
        <v>0</v>
      </c>
      <c r="V484" s="98" t="str">
        <f t="shared" si="421"/>
        <v>SA</v>
      </c>
      <c r="W484" s="100">
        <f t="shared" si="422"/>
        <v>85.631149097815751</v>
      </c>
      <c r="X484" s="103">
        <f t="shared" si="423"/>
        <v>5.3806131370463762E-3</v>
      </c>
    </row>
    <row r="485" spans="2:24" x14ac:dyDescent="0.3">
      <c r="B485" s="5" t="s">
        <v>6</v>
      </c>
      <c r="C485" s="1">
        <v>998</v>
      </c>
      <c r="D485" s="14">
        <v>0.96499999999999997</v>
      </c>
      <c r="E485" s="1">
        <v>661</v>
      </c>
      <c r="F485" s="1">
        <v>41</v>
      </c>
      <c r="G485" s="1">
        <f>31541+C485</f>
        <v>32539</v>
      </c>
      <c r="H485" s="1">
        <f t="shared" si="413"/>
        <v>296</v>
      </c>
      <c r="I485" s="1"/>
      <c r="J485" s="1"/>
      <c r="K485" s="21">
        <f t="shared" si="410"/>
        <v>33719.170984455959</v>
      </c>
      <c r="L485" s="21">
        <f t="shared" si="411"/>
        <v>1034.1968911917099</v>
      </c>
      <c r="M485" s="31">
        <f t="shared" si="414"/>
        <v>-6.7114093959731542E-3</v>
      </c>
      <c r="N485" s="31">
        <f t="shared" si="415"/>
        <v>5.8404558404558403E-2</v>
      </c>
      <c r="O485" s="43">
        <f t="shared" si="416"/>
        <v>42.487046632124354</v>
      </c>
      <c r="P485" s="49">
        <f t="shared" si="417"/>
        <v>4.1082164328657314E-2</v>
      </c>
      <c r="Q485" s="47">
        <f t="shared" si="418"/>
        <v>306.7357512953368</v>
      </c>
      <c r="R485" s="66">
        <f t="shared" si="419"/>
        <v>109.92905405405405</v>
      </c>
      <c r="S485" s="92">
        <f t="shared" si="412"/>
        <v>7.2538860103626943</v>
      </c>
      <c r="T485" s="93">
        <f t="shared" si="420"/>
        <v>0</v>
      </c>
      <c r="V485" s="98" t="str">
        <f t="shared" si="421"/>
        <v>NS</v>
      </c>
      <c r="W485" s="100">
        <f t="shared" si="422"/>
        <v>8.6101129423400895</v>
      </c>
      <c r="X485" s="103">
        <f t="shared" si="423"/>
        <v>1.08270733494057E-2</v>
      </c>
    </row>
    <row r="486" spans="2:24" x14ac:dyDescent="0.3">
      <c r="B486" s="5" t="s">
        <v>7</v>
      </c>
      <c r="C486" s="1">
        <v>120</v>
      </c>
      <c r="D486" s="14">
        <v>0.77200000000000002</v>
      </c>
      <c r="E486" s="1">
        <v>118</v>
      </c>
      <c r="F486" s="1">
        <v>0</v>
      </c>
      <c r="G486" s="1">
        <v>16246</v>
      </c>
      <c r="H486" s="1">
        <f t="shared" si="413"/>
        <v>2</v>
      </c>
      <c r="I486" s="1"/>
      <c r="J486" s="1"/>
      <c r="K486" s="21">
        <f t="shared" si="410"/>
        <v>21044.0414507772</v>
      </c>
      <c r="L486" s="21">
        <f t="shared" si="411"/>
        <v>155.440414507772</v>
      </c>
      <c r="M486" s="31">
        <f t="shared" si="414"/>
        <v>1</v>
      </c>
      <c r="N486" s="31">
        <f t="shared" si="415"/>
        <v>0</v>
      </c>
      <c r="O486" s="43">
        <f t="shared" si="416"/>
        <v>0</v>
      </c>
      <c r="P486" s="49">
        <f t="shared" si="417"/>
        <v>0</v>
      </c>
      <c r="Q486" s="47">
        <f t="shared" si="418"/>
        <v>2.5906735751295336</v>
      </c>
      <c r="R486" s="66">
        <f>IFERROR(G486/H486,15000)</f>
        <v>8123</v>
      </c>
      <c r="S486" s="92">
        <f t="shared" si="412"/>
        <v>1.2953367875647668</v>
      </c>
      <c r="T486" s="93">
        <f t="shared" si="420"/>
        <v>0</v>
      </c>
      <c r="V486" s="98" t="str">
        <f t="shared" si="421"/>
        <v>NB</v>
      </c>
      <c r="W486" s="100">
        <f t="shared" si="422"/>
        <v>400.86355785837651</v>
      </c>
      <c r="X486" s="103">
        <f t="shared" si="423"/>
        <v>2.6074712989907827E-3</v>
      </c>
    </row>
    <row r="487" spans="2:24" x14ac:dyDescent="0.3">
      <c r="B487" s="5" t="s">
        <v>18</v>
      </c>
      <c r="C487" s="9">
        <v>27</v>
      </c>
      <c r="D487" s="15">
        <v>0.154</v>
      </c>
      <c r="E487" s="9">
        <v>26</v>
      </c>
      <c r="F487" s="9">
        <v>0</v>
      </c>
      <c r="G487" s="9">
        <v>3611</v>
      </c>
      <c r="H487" s="1">
        <f t="shared" si="413"/>
        <v>1</v>
      </c>
      <c r="I487" s="9"/>
      <c r="J487" s="9"/>
      <c r="K487" s="22">
        <f t="shared" si="410"/>
        <v>23448.051948051947</v>
      </c>
      <c r="L487" s="22">
        <f t="shared" si="411"/>
        <v>175.32467532467533</v>
      </c>
      <c r="M487" s="31">
        <f t="shared" si="414"/>
        <v>-0.5</v>
      </c>
      <c r="N487" s="31">
        <f t="shared" si="415"/>
        <v>0</v>
      </c>
      <c r="O487" s="44">
        <f t="shared" si="416"/>
        <v>0</v>
      </c>
      <c r="P487" s="49">
        <f t="shared" si="417"/>
        <v>0</v>
      </c>
      <c r="Q487" s="47">
        <f t="shared" si="418"/>
        <v>6.4935064935064934</v>
      </c>
      <c r="R487" s="66">
        <f>G487/H487</f>
        <v>3611</v>
      </c>
      <c r="S487" s="92">
        <f t="shared" si="412"/>
        <v>0</v>
      </c>
      <c r="T487" s="93">
        <f t="shared" si="420"/>
        <v>0</v>
      </c>
      <c r="V487" s="98" t="str">
        <f t="shared" si="421"/>
        <v>PEI</v>
      </c>
      <c r="W487" s="100">
        <f t="shared" si="422"/>
        <v>400.97402597402595</v>
      </c>
      <c r="X487" s="103">
        <f t="shared" si="423"/>
        <v>2.6394960434134472E-3</v>
      </c>
    </row>
    <row r="488" spans="2:24" ht="15" thickBot="1" x14ac:dyDescent="0.35">
      <c r="B488" s="5" t="s">
        <v>11</v>
      </c>
      <c r="C488" s="9">
        <v>259</v>
      </c>
      <c r="D488" s="15">
        <v>0.52400000000000002</v>
      </c>
      <c r="E488" s="9">
        <v>244</v>
      </c>
      <c r="F488" s="9">
        <v>3</v>
      </c>
      <c r="G488" s="9">
        <v>9296</v>
      </c>
      <c r="H488" s="9">
        <f t="shared" si="413"/>
        <v>12</v>
      </c>
      <c r="I488" s="9"/>
      <c r="J488" s="9"/>
      <c r="K488" s="22">
        <f t="shared" si="410"/>
        <v>17740.458015267173</v>
      </c>
      <c r="L488" s="22">
        <f t="shared" si="411"/>
        <v>494.27480916030532</v>
      </c>
      <c r="M488" s="31">
        <f t="shared" si="414"/>
        <v>-0.2</v>
      </c>
      <c r="N488" s="32">
        <f t="shared" si="415"/>
        <v>1.2145748987854251E-2</v>
      </c>
      <c r="O488" s="44">
        <f t="shared" si="416"/>
        <v>5.7251908396946565</v>
      </c>
      <c r="P488" s="50">
        <f t="shared" si="417"/>
        <v>1.1583011583011582E-2</v>
      </c>
      <c r="Q488" s="48">
        <f t="shared" si="418"/>
        <v>22.900763358778626</v>
      </c>
      <c r="R488" s="67">
        <f>G488/H488</f>
        <v>774.66666666666663</v>
      </c>
      <c r="S488" s="92">
        <f t="shared" si="412"/>
        <v>0</v>
      </c>
      <c r="T488" s="93">
        <f t="shared" si="420"/>
        <v>0</v>
      </c>
      <c r="V488" s="99" t="str">
        <f t="shared" si="421"/>
        <v>NFLD</v>
      </c>
      <c r="W488" s="107">
        <f t="shared" si="422"/>
        <v>78.143748939779471</v>
      </c>
      <c r="X488" s="103">
        <f t="shared" si="423"/>
        <v>9.8353176001879858E-3</v>
      </c>
    </row>
    <row r="489" spans="2:24" ht="15" thickBot="1" x14ac:dyDescent="0.35">
      <c r="B489" s="11" t="s">
        <v>10</v>
      </c>
      <c r="C489" s="12">
        <v>63426</v>
      </c>
      <c r="D489" s="16">
        <v>37.6</v>
      </c>
      <c r="E489" s="12">
        <v>28171</v>
      </c>
      <c r="F489" s="12">
        <v>4232</v>
      </c>
      <c r="G489" s="12">
        <f>SUM(G479:G488)</f>
        <v>995483</v>
      </c>
      <c r="H489" s="81">
        <f t="shared" si="413"/>
        <v>31023</v>
      </c>
      <c r="I489" s="111"/>
      <c r="J489" s="111"/>
      <c r="K489" s="77">
        <f t="shared" si="410"/>
        <v>26475.611702127659</v>
      </c>
      <c r="L489" s="23">
        <f t="shared" si="411"/>
        <v>1686.8617021276596</v>
      </c>
      <c r="M489" s="31">
        <f t="shared" si="414"/>
        <v>4.1921960657852306E-4</v>
      </c>
      <c r="N489" s="33">
        <f t="shared" si="415"/>
        <v>0.13060519087738789</v>
      </c>
      <c r="O489" s="45">
        <f>F489/D489</f>
        <v>112.55319148936169</v>
      </c>
      <c r="P489" s="53">
        <f t="shared" si="417"/>
        <v>6.6723425724466309E-2</v>
      </c>
      <c r="Q489" s="55">
        <f t="shared" si="418"/>
        <v>825.07978723404256</v>
      </c>
      <c r="R489" s="74">
        <f>G489/H489</f>
        <v>32.088547206911002</v>
      </c>
      <c r="S489" s="92">
        <f t="shared" si="412"/>
        <v>36.702127659574465</v>
      </c>
      <c r="T489" s="93">
        <f t="shared" si="420"/>
        <v>5.0265957446808507</v>
      </c>
      <c r="V489" s="108" t="str">
        <f t="shared" si="421"/>
        <v>Canada</v>
      </c>
      <c r="W489" s="109">
        <f t="shared" si="422"/>
        <v>10.037238667773375</v>
      </c>
      <c r="X489" s="103">
        <f t="shared" si="423"/>
        <v>2.2491489361702127E-2</v>
      </c>
    </row>
    <row r="490" spans="2:24" ht="15" thickBot="1" x14ac:dyDescent="0.35">
      <c r="B490" s="6" t="s">
        <v>9</v>
      </c>
      <c r="C490" s="7">
        <v>1255636</v>
      </c>
      <c r="D490" s="7">
        <v>327</v>
      </c>
      <c r="E490" s="7">
        <v>205215</v>
      </c>
      <c r="F490" s="7">
        <v>74041</v>
      </c>
      <c r="G490" s="7">
        <v>7934273</v>
      </c>
      <c r="H490" s="82">
        <f t="shared" si="413"/>
        <v>976380</v>
      </c>
      <c r="I490" s="112"/>
      <c r="J490" s="112"/>
      <c r="K490" s="78">
        <f t="shared" si="410"/>
        <v>24263.831804281344</v>
      </c>
      <c r="L490" s="24">
        <f t="shared" si="411"/>
        <v>3839.8654434250766</v>
      </c>
      <c r="M490" s="31">
        <f t="shared" si="414"/>
        <v>2.0991189012721869E-2</v>
      </c>
      <c r="N490" s="33">
        <f t="shared" si="415"/>
        <v>0.26513664880969434</v>
      </c>
      <c r="O490" s="46">
        <f>F490/D490</f>
        <v>226.4250764525994</v>
      </c>
      <c r="P490" s="52">
        <f t="shared" si="417"/>
        <v>5.896692990643785E-2</v>
      </c>
      <c r="Q490" s="54">
        <f t="shared" si="418"/>
        <v>2985.8715596330276</v>
      </c>
      <c r="R490" s="72">
        <f>G490/H490</f>
        <v>8.1262141789057534</v>
      </c>
      <c r="S490" s="92">
        <f t="shared" si="412"/>
        <v>88.75535168195718</v>
      </c>
      <c r="T490" s="93">
        <f t="shared" si="420"/>
        <v>8.1620795107033643</v>
      </c>
      <c r="V490" s="108" t="str">
        <f t="shared" si="421"/>
        <v>USA</v>
      </c>
      <c r="W490" s="109">
        <f t="shared" si="422"/>
        <v>21.707072984941377</v>
      </c>
      <c r="X490" s="103">
        <f t="shared" si="423"/>
        <v>5.5865200126443464E-2</v>
      </c>
    </row>
    <row r="491" spans="2:24" ht="15" thickBot="1" x14ac:dyDescent="0.35"/>
    <row r="492" spans="2:24" ht="29.4" thickBot="1" x14ac:dyDescent="0.35">
      <c r="B492" s="96">
        <v>39203</v>
      </c>
      <c r="C492" s="18" t="s">
        <v>8</v>
      </c>
      <c r="D492" s="19" t="s">
        <v>17</v>
      </c>
      <c r="E492" s="19" t="s">
        <v>15</v>
      </c>
      <c r="F492" s="19" t="s">
        <v>16</v>
      </c>
      <c r="G492" s="19" t="s">
        <v>14</v>
      </c>
      <c r="H492" s="19" t="s">
        <v>38</v>
      </c>
      <c r="I492" s="19"/>
      <c r="J492" s="19"/>
      <c r="K492" s="19" t="s">
        <v>21</v>
      </c>
      <c r="L492" s="19" t="s">
        <v>20</v>
      </c>
      <c r="M492" s="19" t="s">
        <v>40</v>
      </c>
      <c r="N492" s="19" t="s">
        <v>32</v>
      </c>
      <c r="O492" s="19" t="s">
        <v>22</v>
      </c>
      <c r="P492" s="51" t="s">
        <v>34</v>
      </c>
      <c r="Q492" s="20" t="s">
        <v>35</v>
      </c>
      <c r="R492" s="63" t="s">
        <v>39</v>
      </c>
      <c r="S492" s="91" t="s">
        <v>43</v>
      </c>
      <c r="T492" s="91" t="s">
        <v>44</v>
      </c>
      <c r="V492" s="104" t="s">
        <v>48</v>
      </c>
      <c r="W492" s="105" t="s">
        <v>49</v>
      </c>
      <c r="X492" s="106" t="s">
        <v>50</v>
      </c>
    </row>
    <row r="493" spans="2:24" x14ac:dyDescent="0.3">
      <c r="B493" s="3" t="s">
        <v>0</v>
      </c>
      <c r="C493" s="1">
        <v>19121</v>
      </c>
      <c r="D493" s="14">
        <v>14.45</v>
      </c>
      <c r="E493" s="1">
        <v>13569</v>
      </c>
      <c r="F493" s="1">
        <v>1477</v>
      </c>
      <c r="G493" s="1">
        <v>380854</v>
      </c>
      <c r="H493" s="1">
        <f>C493-E493-F493</f>
        <v>4075</v>
      </c>
      <c r="I493" s="1"/>
      <c r="J493" s="1"/>
      <c r="K493" s="21">
        <f t="shared" ref="K493:K504" si="424">G493/D493</f>
        <v>26356.678200692044</v>
      </c>
      <c r="L493" s="21">
        <f t="shared" ref="L493:L504" si="425">C493/D493</f>
        <v>1323.2525951557095</v>
      </c>
      <c r="M493" s="31">
        <f>(H493-H479)/H479</f>
        <v>9.8255956767379017E-4</v>
      </c>
      <c r="N493" s="31">
        <f>F493/(E493+F493)</f>
        <v>9.8165625415392796E-2</v>
      </c>
      <c r="O493" s="43">
        <f>F493/D493</f>
        <v>102.21453287197232</v>
      </c>
      <c r="P493" s="49">
        <f>F493/C493</f>
        <v>7.7244913968934681E-2</v>
      </c>
      <c r="Q493" s="47">
        <f>(C493-E493-F493)/D493</f>
        <v>282.00692041522495</v>
      </c>
      <c r="R493" s="66">
        <f>G493/H493</f>
        <v>93.461104294478531</v>
      </c>
      <c r="S493" s="92">
        <f t="shared" ref="S493:S504" si="426">(C493-C479)/D493</f>
        <v>27.612456747404845</v>
      </c>
      <c r="T493" s="93">
        <f>(F493-F479)/D493</f>
        <v>3.3217993079584778</v>
      </c>
      <c r="V493" s="101" t="str">
        <f>B493</f>
        <v>ON</v>
      </c>
      <c r="W493" s="102">
        <f>C493/D493/180+IFERROR((D493*C493*5)/(F493*F493),400)</f>
        <v>7.984671188717841</v>
      </c>
      <c r="X493" s="103">
        <f>L493/75000/K493*K$503</f>
        <v>1.8153949883887303E-2</v>
      </c>
    </row>
    <row r="494" spans="2:24" x14ac:dyDescent="0.3">
      <c r="B494" s="5" t="s">
        <v>1</v>
      </c>
      <c r="C494" s="1">
        <v>35238</v>
      </c>
      <c r="D494" s="14">
        <v>8.43</v>
      </c>
      <c r="E494" s="1">
        <v>8673</v>
      </c>
      <c r="F494" s="1">
        <v>2631</v>
      </c>
      <c r="G494" s="1">
        <v>235629</v>
      </c>
      <c r="H494" s="1">
        <f t="shared" ref="H494:H504" si="427">C494-E494-F494</f>
        <v>23934</v>
      </c>
      <c r="I494" s="1"/>
      <c r="J494" s="1"/>
      <c r="K494" s="21">
        <f t="shared" si="424"/>
        <v>27951.245551601423</v>
      </c>
      <c r="L494" s="21">
        <f t="shared" si="425"/>
        <v>4180.0711743772245</v>
      </c>
      <c r="M494" s="31">
        <f t="shared" ref="M494:M504" si="428">(H494-H480)/H480</f>
        <v>1.7039901415034208E-2</v>
      </c>
      <c r="N494" s="31">
        <f t="shared" ref="N494:N504" si="429">F494/(E494+F494)</f>
        <v>0.23274946921443737</v>
      </c>
      <c r="O494" s="43">
        <f t="shared" ref="O494:O502" si="430">F494/D494</f>
        <v>312.09964412811388</v>
      </c>
      <c r="P494" s="49">
        <f t="shared" ref="P494:P504" si="431">F494/C494</f>
        <v>7.4663715307338674E-2</v>
      </c>
      <c r="Q494" s="47">
        <f t="shared" ref="Q494:Q504" si="432">(C494-E494-F494)/D494</f>
        <v>2839.1459074733098</v>
      </c>
      <c r="R494" s="66">
        <f t="shared" ref="R494:R499" si="433">G494/H494</f>
        <v>9.8449486086738531</v>
      </c>
      <c r="S494" s="92">
        <f t="shared" si="426"/>
        <v>108.06642941874259</v>
      </c>
      <c r="T494" s="93">
        <f t="shared" ref="T494:T504" si="434">(F494-F480)/D494</f>
        <v>14.353499406880191</v>
      </c>
      <c r="V494" s="98" t="str">
        <f t="shared" ref="V494:V504" si="435">B494</f>
        <v>QC</v>
      </c>
      <c r="W494" s="100">
        <f t="shared" ref="W494:W504" si="436">C494/D494/180+IFERROR((D494*C494*5)/(F494*F494),400)</f>
        <v>23.437186712917978</v>
      </c>
      <c r="X494" s="103">
        <f t="shared" ref="X494:X504" si="437">L494/75000/K494*K$503</f>
        <v>5.4075626911870019E-2</v>
      </c>
    </row>
    <row r="495" spans="2:24" x14ac:dyDescent="0.3">
      <c r="B495" s="5" t="s">
        <v>2</v>
      </c>
      <c r="C495" s="1">
        <v>2288</v>
      </c>
      <c r="D495" s="14">
        <v>5.0199999999999996</v>
      </c>
      <c r="E495" s="1">
        <v>1512</v>
      </c>
      <c r="F495" s="1">
        <v>126</v>
      </c>
      <c r="G495" s="1">
        <v>102710</v>
      </c>
      <c r="H495" s="1">
        <f t="shared" si="427"/>
        <v>650</v>
      </c>
      <c r="I495" s="1"/>
      <c r="J495" s="1"/>
      <c r="K495" s="21">
        <f t="shared" si="424"/>
        <v>20460.159362549803</v>
      </c>
      <c r="L495" s="21">
        <f t="shared" si="425"/>
        <v>455.77689243027891</v>
      </c>
      <c r="M495" s="31">
        <f t="shared" si="428"/>
        <v>2.0408163265306121E-2</v>
      </c>
      <c r="N495" s="31">
        <f t="shared" si="429"/>
        <v>7.6923076923076927E-2</v>
      </c>
      <c r="O495" s="43">
        <f t="shared" si="430"/>
        <v>25.099601593625501</v>
      </c>
      <c r="P495" s="49">
        <f t="shared" si="431"/>
        <v>5.5069930069930072E-2</v>
      </c>
      <c r="Q495" s="47">
        <f t="shared" si="432"/>
        <v>129.48207171314743</v>
      </c>
      <c r="R495" s="66">
        <f t="shared" si="433"/>
        <v>158.01538461538462</v>
      </c>
      <c r="S495" s="92">
        <f t="shared" si="426"/>
        <v>6.5737051792828689</v>
      </c>
      <c r="T495" s="93">
        <f t="shared" si="434"/>
        <v>0.39840637450199207</v>
      </c>
      <c r="V495" s="98" t="str">
        <f t="shared" si="435"/>
        <v>BC</v>
      </c>
      <c r="W495" s="100">
        <f t="shared" si="436"/>
        <v>6.1494281879787476</v>
      </c>
      <c r="X495" s="103">
        <f t="shared" si="437"/>
        <v>8.0549406129355444E-3</v>
      </c>
    </row>
    <row r="496" spans="2:24" x14ac:dyDescent="0.3">
      <c r="B496" s="5" t="s">
        <v>3</v>
      </c>
      <c r="C496" s="1">
        <v>6017</v>
      </c>
      <c r="D496" s="14">
        <v>4.34</v>
      </c>
      <c r="E496" s="1">
        <v>3809</v>
      </c>
      <c r="F496" s="1">
        <v>114</v>
      </c>
      <c r="G496" s="1">
        <v>174327</v>
      </c>
      <c r="H496" s="1">
        <f t="shared" si="427"/>
        <v>2094</v>
      </c>
      <c r="I496" s="1"/>
      <c r="J496" s="1"/>
      <c r="K496" s="21">
        <f t="shared" si="424"/>
        <v>40167.511520737331</v>
      </c>
      <c r="L496" s="21">
        <f t="shared" si="425"/>
        <v>1386.405529953917</v>
      </c>
      <c r="M496" s="31">
        <f t="shared" si="428"/>
        <v>-8.9169204001739888E-2</v>
      </c>
      <c r="N496" s="31">
        <f t="shared" si="429"/>
        <v>2.9059393321437674E-2</v>
      </c>
      <c r="O496" s="43">
        <f t="shared" si="430"/>
        <v>26.267281105990783</v>
      </c>
      <c r="P496" s="49">
        <f t="shared" si="431"/>
        <v>1.8946318763503407E-2</v>
      </c>
      <c r="Q496" s="47">
        <f t="shared" si="432"/>
        <v>482.48847926267285</v>
      </c>
      <c r="R496" s="66">
        <f t="shared" si="433"/>
        <v>83.250716332378218</v>
      </c>
      <c r="S496" s="92">
        <f t="shared" si="426"/>
        <v>12.442396313364055</v>
      </c>
      <c r="T496" s="93">
        <f t="shared" si="434"/>
        <v>0.46082949308755761</v>
      </c>
      <c r="V496" s="98" t="str">
        <f t="shared" si="435"/>
        <v>AL</v>
      </c>
      <c r="W496" s="100">
        <f t="shared" si="436"/>
        <v>17.749105821996984</v>
      </c>
      <c r="X496" s="103">
        <f t="shared" si="437"/>
        <v>1.2480569612654655E-2</v>
      </c>
    </row>
    <row r="497" spans="2:24" x14ac:dyDescent="0.3">
      <c r="B497" s="5" t="s">
        <v>4</v>
      </c>
      <c r="C497" s="1">
        <v>284</v>
      </c>
      <c r="D497" s="14">
        <v>1.36</v>
      </c>
      <c r="E497" s="1">
        <v>243</v>
      </c>
      <c r="F497" s="1">
        <v>7</v>
      </c>
      <c r="G497" s="1">
        <v>28810</v>
      </c>
      <c r="H497" s="1">
        <f t="shared" si="427"/>
        <v>34</v>
      </c>
      <c r="I497" s="1"/>
      <c r="J497" s="1"/>
      <c r="K497" s="21">
        <f t="shared" si="424"/>
        <v>21183.823529411762</v>
      </c>
      <c r="L497" s="21">
        <f t="shared" si="425"/>
        <v>208.8235294117647</v>
      </c>
      <c r="M497" s="31">
        <f t="shared" si="428"/>
        <v>0</v>
      </c>
      <c r="N497" s="31">
        <f t="shared" si="429"/>
        <v>2.8000000000000001E-2</v>
      </c>
      <c r="O497" s="43">
        <f t="shared" si="430"/>
        <v>5.1470588235294112</v>
      </c>
      <c r="P497" s="49">
        <f t="shared" si="431"/>
        <v>2.464788732394366E-2</v>
      </c>
      <c r="Q497" s="47">
        <f t="shared" si="432"/>
        <v>24.999999999999996</v>
      </c>
      <c r="R497" s="66">
        <f t="shared" si="433"/>
        <v>847.35294117647061</v>
      </c>
      <c r="S497" s="92">
        <f t="shared" si="426"/>
        <v>0.73529411764705876</v>
      </c>
      <c r="T497" s="93">
        <f t="shared" si="434"/>
        <v>0</v>
      </c>
      <c r="V497" s="98" t="str">
        <f t="shared" si="435"/>
        <v>MA</v>
      </c>
      <c r="W497" s="100">
        <f t="shared" si="436"/>
        <v>40.572375616913433</v>
      </c>
      <c r="X497" s="103">
        <f t="shared" si="437"/>
        <v>3.5644631862951442E-3</v>
      </c>
    </row>
    <row r="498" spans="2:24" x14ac:dyDescent="0.3">
      <c r="B498" s="5" t="s">
        <v>5</v>
      </c>
      <c r="C498" s="1">
        <v>531</v>
      </c>
      <c r="D498" s="14">
        <v>1.17</v>
      </c>
      <c r="E498" s="1">
        <v>329</v>
      </c>
      <c r="F498" s="1">
        <v>6</v>
      </c>
      <c r="G498" s="1">
        <v>34361</v>
      </c>
      <c r="H498" s="1">
        <f t="shared" si="427"/>
        <v>196</v>
      </c>
      <c r="I498" s="1"/>
      <c r="J498" s="1"/>
      <c r="K498" s="21">
        <f t="shared" si="424"/>
        <v>29368.37606837607</v>
      </c>
      <c r="L498" s="21">
        <f t="shared" si="425"/>
        <v>453.84615384615387</v>
      </c>
      <c r="M498" s="31">
        <f t="shared" si="428"/>
        <v>1.0309278350515464E-2</v>
      </c>
      <c r="N498" s="31">
        <f t="shared" si="429"/>
        <v>1.7910447761194031E-2</v>
      </c>
      <c r="O498" s="43">
        <f t="shared" si="430"/>
        <v>5.1282051282051286</v>
      </c>
      <c r="P498" s="49">
        <f t="shared" si="431"/>
        <v>1.1299435028248588E-2</v>
      </c>
      <c r="Q498" s="47">
        <f t="shared" si="432"/>
        <v>167.52136752136752</v>
      </c>
      <c r="R498" s="66">
        <f t="shared" si="433"/>
        <v>175.3112244897959</v>
      </c>
      <c r="S498" s="92">
        <f t="shared" si="426"/>
        <v>16.239316239316242</v>
      </c>
      <c r="T498" s="93">
        <f t="shared" si="434"/>
        <v>0</v>
      </c>
      <c r="V498" s="98" t="str">
        <f t="shared" si="435"/>
        <v>SA</v>
      </c>
      <c r="W498" s="100">
        <f t="shared" si="436"/>
        <v>88.808867521367517</v>
      </c>
      <c r="X498" s="103">
        <f t="shared" si="437"/>
        <v>5.5878891023779425E-3</v>
      </c>
    </row>
    <row r="499" spans="2:24" x14ac:dyDescent="0.3">
      <c r="B499" s="5" t="s">
        <v>6</v>
      </c>
      <c r="C499" s="1">
        <v>1007</v>
      </c>
      <c r="D499" s="14">
        <v>0.96499999999999997</v>
      </c>
      <c r="E499" s="1">
        <v>708</v>
      </c>
      <c r="F499" s="1">
        <v>44</v>
      </c>
      <c r="G499" s="1">
        <f>32298+C499</f>
        <v>33305</v>
      </c>
      <c r="H499" s="1">
        <f t="shared" si="427"/>
        <v>255</v>
      </c>
      <c r="I499" s="1"/>
      <c r="J499" s="1"/>
      <c r="K499" s="21">
        <f t="shared" si="424"/>
        <v>34512.953367875649</v>
      </c>
      <c r="L499" s="21">
        <f t="shared" si="425"/>
        <v>1043.5233160621763</v>
      </c>
      <c r="M499" s="31">
        <f t="shared" si="428"/>
        <v>-0.13851351351351351</v>
      </c>
      <c r="N499" s="31">
        <f t="shared" si="429"/>
        <v>5.8510638297872342E-2</v>
      </c>
      <c r="O499" s="43">
        <f t="shared" si="430"/>
        <v>45.595854922279791</v>
      </c>
      <c r="P499" s="49">
        <f t="shared" si="431"/>
        <v>4.3694141012909631E-2</v>
      </c>
      <c r="Q499" s="47">
        <f t="shared" si="432"/>
        <v>264.24870466321244</v>
      </c>
      <c r="R499" s="66">
        <f t="shared" si="433"/>
        <v>130.60784313725489</v>
      </c>
      <c r="S499" s="92">
        <f t="shared" si="426"/>
        <v>9.3264248704663224</v>
      </c>
      <c r="T499" s="93">
        <f t="shared" si="434"/>
        <v>3.1088082901554404</v>
      </c>
      <c r="V499" s="98" t="str">
        <f t="shared" si="435"/>
        <v>NS</v>
      </c>
      <c r="W499" s="100">
        <f t="shared" si="436"/>
        <v>8.3070495864794918</v>
      </c>
      <c r="X499" s="103">
        <f t="shared" si="437"/>
        <v>1.0932993363507918E-2</v>
      </c>
    </row>
    <row r="500" spans="2:24" x14ac:dyDescent="0.3">
      <c r="B500" s="5" t="s">
        <v>7</v>
      </c>
      <c r="C500" s="1">
        <v>120</v>
      </c>
      <c r="D500" s="14">
        <v>0.77200000000000002</v>
      </c>
      <c r="E500" s="1">
        <v>118</v>
      </c>
      <c r="F500" s="1">
        <v>0</v>
      </c>
      <c r="G500" s="1">
        <v>16625</v>
      </c>
      <c r="H500" s="1">
        <f t="shared" si="427"/>
        <v>2</v>
      </c>
      <c r="I500" s="1"/>
      <c r="J500" s="1"/>
      <c r="K500" s="21">
        <f t="shared" si="424"/>
        <v>21534.974093264249</v>
      </c>
      <c r="L500" s="21">
        <f t="shared" si="425"/>
        <v>155.440414507772</v>
      </c>
      <c r="M500" s="31">
        <f t="shared" si="428"/>
        <v>0</v>
      </c>
      <c r="N500" s="31">
        <f t="shared" si="429"/>
        <v>0</v>
      </c>
      <c r="O500" s="43">
        <f t="shared" si="430"/>
        <v>0</v>
      </c>
      <c r="P500" s="49">
        <f t="shared" si="431"/>
        <v>0</v>
      </c>
      <c r="Q500" s="47">
        <f t="shared" si="432"/>
        <v>2.5906735751295336</v>
      </c>
      <c r="R500" s="66">
        <f>IFERROR(G500/H500,15000)</f>
        <v>8312.5</v>
      </c>
      <c r="S500" s="92">
        <f t="shared" si="426"/>
        <v>0</v>
      </c>
      <c r="T500" s="93">
        <f t="shared" si="434"/>
        <v>0</v>
      </c>
      <c r="V500" s="98" t="str">
        <f t="shared" si="435"/>
        <v>NB</v>
      </c>
      <c r="W500" s="100">
        <f t="shared" si="436"/>
        <v>400.86355785837651</v>
      </c>
      <c r="X500" s="103">
        <f t="shared" si="437"/>
        <v>2.609988801791713E-3</v>
      </c>
    </row>
    <row r="501" spans="2:24" x14ac:dyDescent="0.3">
      <c r="B501" s="5" t="s">
        <v>18</v>
      </c>
      <c r="C501" s="9">
        <v>27</v>
      </c>
      <c r="D501" s="15">
        <v>0.154</v>
      </c>
      <c r="E501" s="9">
        <v>26</v>
      </c>
      <c r="F501" s="9">
        <v>0</v>
      </c>
      <c r="G501" s="9">
        <v>3611</v>
      </c>
      <c r="H501" s="1">
        <f t="shared" si="427"/>
        <v>1</v>
      </c>
      <c r="I501" s="9"/>
      <c r="J501" s="9"/>
      <c r="K501" s="22">
        <f t="shared" si="424"/>
        <v>23448.051948051947</v>
      </c>
      <c r="L501" s="22">
        <f t="shared" si="425"/>
        <v>175.32467532467533</v>
      </c>
      <c r="M501" s="31">
        <f t="shared" si="428"/>
        <v>0</v>
      </c>
      <c r="N501" s="31">
        <f t="shared" si="429"/>
        <v>0</v>
      </c>
      <c r="O501" s="44">
        <f t="shared" si="430"/>
        <v>0</v>
      </c>
      <c r="P501" s="49">
        <f t="shared" si="431"/>
        <v>0</v>
      </c>
      <c r="Q501" s="47">
        <f t="shared" si="432"/>
        <v>6.4935064935064934</v>
      </c>
      <c r="R501" s="66">
        <f>G501/H501</f>
        <v>3611</v>
      </c>
      <c r="S501" s="92">
        <f t="shared" si="426"/>
        <v>0</v>
      </c>
      <c r="T501" s="93">
        <f t="shared" si="434"/>
        <v>0</v>
      </c>
      <c r="V501" s="98" t="str">
        <f t="shared" si="435"/>
        <v>PEI</v>
      </c>
      <c r="W501" s="100">
        <f t="shared" si="436"/>
        <v>400.97402597402595</v>
      </c>
      <c r="X501" s="103">
        <f t="shared" si="437"/>
        <v>2.7036802441711793E-3</v>
      </c>
    </row>
    <row r="502" spans="2:24" ht="15" thickBot="1" x14ac:dyDescent="0.35">
      <c r="B502" s="5" t="s">
        <v>11</v>
      </c>
      <c r="C502" s="9">
        <v>261</v>
      </c>
      <c r="D502" s="15">
        <v>0.52400000000000002</v>
      </c>
      <c r="E502" s="9">
        <v>244</v>
      </c>
      <c r="F502" s="9">
        <v>3</v>
      </c>
      <c r="G502" s="9">
        <v>9458</v>
      </c>
      <c r="H502" s="9">
        <f t="shared" si="427"/>
        <v>14</v>
      </c>
      <c r="I502" s="9"/>
      <c r="J502" s="9"/>
      <c r="K502" s="22">
        <f t="shared" si="424"/>
        <v>18049.618320610687</v>
      </c>
      <c r="L502" s="22">
        <f t="shared" si="425"/>
        <v>498.09160305343511</v>
      </c>
      <c r="M502" s="31">
        <f t="shared" si="428"/>
        <v>0.16666666666666666</v>
      </c>
      <c r="N502" s="32">
        <f t="shared" si="429"/>
        <v>1.2145748987854251E-2</v>
      </c>
      <c r="O502" s="44">
        <f t="shared" si="430"/>
        <v>5.7251908396946565</v>
      </c>
      <c r="P502" s="50">
        <f t="shared" si="431"/>
        <v>1.1494252873563218E-2</v>
      </c>
      <c r="Q502" s="48">
        <f t="shared" si="432"/>
        <v>26.717557251908396</v>
      </c>
      <c r="R502" s="67">
        <f>G502/H502</f>
        <v>675.57142857142856</v>
      </c>
      <c r="S502" s="92">
        <f t="shared" si="426"/>
        <v>3.8167938931297707</v>
      </c>
      <c r="T502" s="93">
        <f t="shared" si="434"/>
        <v>0</v>
      </c>
      <c r="V502" s="99" t="str">
        <f t="shared" si="435"/>
        <v>NFLD</v>
      </c>
      <c r="W502" s="107">
        <f t="shared" si="436"/>
        <v>78.747175572519083</v>
      </c>
      <c r="X502" s="103">
        <f t="shared" si="437"/>
        <v>9.9783848413816066E-3</v>
      </c>
    </row>
    <row r="503" spans="2:24" ht="15" thickBot="1" x14ac:dyDescent="0.35">
      <c r="B503" s="11" t="s">
        <v>10</v>
      </c>
      <c r="C503" s="12">
        <v>64835</v>
      </c>
      <c r="D503" s="16">
        <v>37.6</v>
      </c>
      <c r="E503" s="12">
        <v>28972</v>
      </c>
      <c r="F503" s="12">
        <v>4404</v>
      </c>
      <c r="G503" s="12">
        <f>SUM(G493:G502)</f>
        <v>1019690</v>
      </c>
      <c r="H503" s="81">
        <f t="shared" si="427"/>
        <v>31459</v>
      </c>
      <c r="I503" s="111"/>
      <c r="J503" s="111"/>
      <c r="K503" s="77">
        <f t="shared" si="424"/>
        <v>27119.41489361702</v>
      </c>
      <c r="L503" s="23">
        <f t="shared" si="425"/>
        <v>1724.3351063829787</v>
      </c>
      <c r="M503" s="31">
        <f t="shared" si="428"/>
        <v>1.4054088901782549E-2</v>
      </c>
      <c r="N503" s="33">
        <f t="shared" si="429"/>
        <v>0.13195110258868648</v>
      </c>
      <c r="O503" s="45">
        <f>F503/D503</f>
        <v>117.12765957446808</v>
      </c>
      <c r="P503" s="53">
        <f t="shared" si="431"/>
        <v>6.7926274388833197E-2</v>
      </c>
      <c r="Q503" s="55">
        <f t="shared" si="432"/>
        <v>836.67553191489355</v>
      </c>
      <c r="R503" s="74">
        <f>G503/H503</f>
        <v>32.413299850599195</v>
      </c>
      <c r="S503" s="92">
        <f t="shared" si="426"/>
        <v>37.473404255319146</v>
      </c>
      <c r="T503" s="93">
        <f t="shared" si="434"/>
        <v>4.5744680851063828</v>
      </c>
      <c r="V503" s="108" t="str">
        <f t="shared" si="435"/>
        <v>Canada</v>
      </c>
      <c r="W503" s="109">
        <f t="shared" si="436"/>
        <v>10.208092393242417</v>
      </c>
      <c r="X503" s="103">
        <f t="shared" si="437"/>
        <v>2.299113475177305E-2</v>
      </c>
    </row>
    <row r="504" spans="2:24" ht="15" thickBot="1" x14ac:dyDescent="0.35">
      <c r="B504" s="6" t="s">
        <v>9</v>
      </c>
      <c r="C504" s="7">
        <v>1287493</v>
      </c>
      <c r="D504" s="7">
        <v>327</v>
      </c>
      <c r="E504" s="7">
        <v>214906</v>
      </c>
      <c r="F504" s="7">
        <v>76693</v>
      </c>
      <c r="G504" s="7">
        <v>7810624</v>
      </c>
      <c r="H504" s="82">
        <f t="shared" si="427"/>
        <v>995894</v>
      </c>
      <c r="I504" s="112"/>
      <c r="J504" s="112"/>
      <c r="K504" s="78">
        <f t="shared" si="424"/>
        <v>23885.700305810398</v>
      </c>
      <c r="L504" s="24">
        <f t="shared" si="425"/>
        <v>3937.2874617737002</v>
      </c>
      <c r="M504" s="31">
        <f t="shared" si="428"/>
        <v>1.9986070996947911E-2</v>
      </c>
      <c r="N504" s="33">
        <f t="shared" si="429"/>
        <v>0.26300844653102379</v>
      </c>
      <c r="O504" s="46">
        <f>F504/D504</f>
        <v>234.53516819571865</v>
      </c>
      <c r="P504" s="52">
        <f t="shared" si="431"/>
        <v>5.9567702504013616E-2</v>
      </c>
      <c r="Q504" s="54">
        <f t="shared" si="432"/>
        <v>3045.547400611621</v>
      </c>
      <c r="R504" s="72">
        <f>G504/H504</f>
        <v>7.8428266462093355</v>
      </c>
      <c r="S504" s="92">
        <f t="shared" si="426"/>
        <v>97.422018348623851</v>
      </c>
      <c r="T504" s="93">
        <f t="shared" si="434"/>
        <v>8.1100917431192663</v>
      </c>
      <c r="V504" s="108" t="str">
        <f t="shared" si="435"/>
        <v>USA</v>
      </c>
      <c r="W504" s="109">
        <f t="shared" si="436"/>
        <v>22.231710564597403</v>
      </c>
      <c r="X504" s="103">
        <f t="shared" si="437"/>
        <v>5.9604383020917244E-2</v>
      </c>
    </row>
    <row r="505" spans="2:24" ht="15" thickBot="1" x14ac:dyDescent="0.35"/>
    <row r="506" spans="2:24" ht="29.4" thickBot="1" x14ac:dyDescent="0.35">
      <c r="B506" s="96">
        <v>39569</v>
      </c>
      <c r="C506" s="18" t="s">
        <v>8</v>
      </c>
      <c r="D506" s="19" t="s">
        <v>17</v>
      </c>
      <c r="E506" s="19" t="s">
        <v>15</v>
      </c>
      <c r="F506" s="19" t="s">
        <v>16</v>
      </c>
      <c r="G506" s="19" t="s">
        <v>14</v>
      </c>
      <c r="H506" s="19" t="s">
        <v>38</v>
      </c>
      <c r="I506" s="19"/>
      <c r="J506" s="19"/>
      <c r="K506" s="19" t="s">
        <v>21</v>
      </c>
      <c r="L506" s="19" t="s">
        <v>20</v>
      </c>
      <c r="M506" s="19" t="s">
        <v>40</v>
      </c>
      <c r="N506" s="19" t="s">
        <v>32</v>
      </c>
      <c r="O506" s="19" t="s">
        <v>22</v>
      </c>
      <c r="P506" s="51" t="s">
        <v>34</v>
      </c>
      <c r="Q506" s="20" t="s">
        <v>35</v>
      </c>
      <c r="R506" s="63" t="s">
        <v>39</v>
      </c>
      <c r="S506" s="91" t="s">
        <v>43</v>
      </c>
      <c r="T506" s="91" t="s">
        <v>44</v>
      </c>
      <c r="V506" s="104" t="s">
        <v>48</v>
      </c>
      <c r="W506" s="105" t="s">
        <v>49</v>
      </c>
      <c r="X506" s="106" t="s">
        <v>50</v>
      </c>
    </row>
    <row r="507" spans="2:24" x14ac:dyDescent="0.3">
      <c r="B507" s="3" t="s">
        <v>0</v>
      </c>
      <c r="C507" s="1">
        <v>19598</v>
      </c>
      <c r="D507" s="14">
        <v>14.45</v>
      </c>
      <c r="E507" s="1">
        <v>13990</v>
      </c>
      <c r="F507" s="1">
        <v>1540</v>
      </c>
      <c r="G507" s="1">
        <v>397149</v>
      </c>
      <c r="H507" s="1">
        <f>C507-E507-F507</f>
        <v>4068</v>
      </c>
      <c r="I507" s="1"/>
      <c r="J507" s="1"/>
      <c r="K507" s="21">
        <f t="shared" ref="K507:K518" si="438">G507/D507</f>
        <v>27484.359861591696</v>
      </c>
      <c r="L507" s="21">
        <f t="shared" ref="L507:L518" si="439">C507/D507</f>
        <v>1356.2629757785469</v>
      </c>
      <c r="M507" s="31">
        <f>(H507-H493)/H493</f>
        <v>-1.7177914110429449E-3</v>
      </c>
      <c r="N507" s="31">
        <f>F507/(E507+F507)</f>
        <v>9.9162910495814549E-2</v>
      </c>
      <c r="O507" s="43">
        <f>F507/D507</f>
        <v>106.57439446366783</v>
      </c>
      <c r="P507" s="49">
        <f>F507/C507</f>
        <v>7.8579446882334938E-2</v>
      </c>
      <c r="Q507" s="47">
        <f>(C507-E507-F507)/D507</f>
        <v>281.52249134948096</v>
      </c>
      <c r="R507" s="66">
        <f>G507/H507</f>
        <v>97.627581120943958</v>
      </c>
      <c r="S507" s="92">
        <f t="shared" ref="S507:S518" si="440">(C507-C493)/D507</f>
        <v>33.010380622837374</v>
      </c>
      <c r="T507" s="93">
        <f>(F507-F493)/D507</f>
        <v>4.3598615916955019</v>
      </c>
      <c r="V507" s="101" t="str">
        <f>B507</f>
        <v>ON</v>
      </c>
      <c r="W507" s="102">
        <f>C507/D507/180+IFERROR((D507*C507*5)/(F507*F507),400)</f>
        <v>8.1318408185669355</v>
      </c>
      <c r="X507" s="103">
        <f>L507/75000/K507*K$517</f>
        <v>1.880442461802526E-2</v>
      </c>
    </row>
    <row r="508" spans="2:24" x14ac:dyDescent="0.3">
      <c r="B508" s="5" t="s">
        <v>1</v>
      </c>
      <c r="C508" s="1">
        <v>36150</v>
      </c>
      <c r="D508" s="14">
        <v>8.43</v>
      </c>
      <c r="E508" s="1">
        <v>8928</v>
      </c>
      <c r="F508" s="1">
        <v>2725</v>
      </c>
      <c r="G508" s="1">
        <v>266109</v>
      </c>
      <c r="H508" s="1">
        <f t="shared" ref="H508:H518" si="441">C508-E508-F508</f>
        <v>24497</v>
      </c>
      <c r="I508" s="1"/>
      <c r="J508" s="1"/>
      <c r="K508" s="21">
        <f t="shared" si="438"/>
        <v>31566.903914590748</v>
      </c>
      <c r="L508" s="21">
        <f t="shared" si="439"/>
        <v>4288.2562277580073</v>
      </c>
      <c r="M508" s="31">
        <f t="shared" ref="M508:M518" si="442">(H508-H494)/H494</f>
        <v>2.3523021642851173E-2</v>
      </c>
      <c r="N508" s="31">
        <f t="shared" ref="N508:N518" si="443">F508/(E508+F508)</f>
        <v>0.23384536170943104</v>
      </c>
      <c r="O508" s="43">
        <f t="shared" ref="O508:O516" si="444">F508/D508</f>
        <v>323.25029655990511</v>
      </c>
      <c r="P508" s="49">
        <f t="shared" ref="P508:P518" si="445">F508/C508</f>
        <v>7.5380359612724754E-2</v>
      </c>
      <c r="Q508" s="47">
        <f t="shared" ref="Q508:Q518" si="446">(C508-E508-F508)/D508</f>
        <v>2905.9311981020169</v>
      </c>
      <c r="R508" s="66">
        <f t="shared" ref="R508:R513" si="447">G508/H508</f>
        <v>10.862921990447809</v>
      </c>
      <c r="S508" s="92">
        <f t="shared" si="440"/>
        <v>108.18505338078292</v>
      </c>
      <c r="T508" s="93">
        <f t="shared" ref="T508:T518" si="448">(F508-F494)/D508</f>
        <v>11.150652431791222</v>
      </c>
      <c r="V508" s="98" t="str">
        <f t="shared" ref="V508:V518" si="449">B508</f>
        <v>QC</v>
      </c>
      <c r="W508" s="100">
        <f t="shared" ref="W508:W518" si="450">C508/D508/180+IFERROR((D508*C508*5)/(F508*F508),400)</f>
        <v>24.028843588733125</v>
      </c>
      <c r="X508" s="103">
        <f t="shared" ref="X508:X518" si="451">L508/75000/K508*K$517</f>
        <v>5.1766703261813291E-2</v>
      </c>
    </row>
    <row r="509" spans="2:24" x14ac:dyDescent="0.3">
      <c r="B509" s="5" t="s">
        <v>2</v>
      </c>
      <c r="C509" s="1">
        <v>2315</v>
      </c>
      <c r="D509" s="14">
        <v>5.0199999999999996</v>
      </c>
      <c r="E509" s="1">
        <v>1579</v>
      </c>
      <c r="F509" s="1">
        <v>127</v>
      </c>
      <c r="G509" s="1">
        <v>104994</v>
      </c>
      <c r="H509" s="1">
        <f t="shared" si="441"/>
        <v>609</v>
      </c>
      <c r="I509" s="1"/>
      <c r="J509" s="1"/>
      <c r="K509" s="21">
        <f t="shared" si="438"/>
        <v>20915.139442231077</v>
      </c>
      <c r="L509" s="21">
        <f t="shared" si="439"/>
        <v>461.15537848605584</v>
      </c>
      <c r="M509" s="31">
        <f t="shared" si="442"/>
        <v>-6.3076923076923072E-2</v>
      </c>
      <c r="N509" s="31">
        <f t="shared" si="443"/>
        <v>7.4443141852286052E-2</v>
      </c>
      <c r="O509" s="43">
        <f t="shared" si="444"/>
        <v>25.298804780876495</v>
      </c>
      <c r="P509" s="49">
        <f t="shared" si="445"/>
        <v>5.4859611231101509E-2</v>
      </c>
      <c r="Q509" s="47">
        <f t="shared" si="446"/>
        <v>121.31474103585658</v>
      </c>
      <c r="R509" s="66">
        <f t="shared" si="447"/>
        <v>172.4039408866995</v>
      </c>
      <c r="S509" s="92">
        <f t="shared" si="440"/>
        <v>5.378486055776893</v>
      </c>
      <c r="T509" s="93">
        <f t="shared" si="448"/>
        <v>0.19920318725099603</v>
      </c>
      <c r="V509" s="98" t="str">
        <f t="shared" si="449"/>
        <v>BC</v>
      </c>
      <c r="W509" s="100">
        <f t="shared" si="450"/>
        <v>6.1645845301429425</v>
      </c>
      <c r="X509" s="103">
        <f t="shared" si="451"/>
        <v>8.4021084555051233E-3</v>
      </c>
    </row>
    <row r="510" spans="2:24" x14ac:dyDescent="0.3">
      <c r="B510" s="5" t="s">
        <v>3</v>
      </c>
      <c r="C510" s="1">
        <v>6098</v>
      </c>
      <c r="D510" s="14">
        <v>4.34</v>
      </c>
      <c r="E510" s="1">
        <v>4020</v>
      </c>
      <c r="F510" s="1">
        <v>115</v>
      </c>
      <c r="G510" s="1">
        <f>174327+3232</f>
        <v>177559</v>
      </c>
      <c r="H510" s="1">
        <f t="shared" si="441"/>
        <v>1963</v>
      </c>
      <c r="I510" s="1"/>
      <c r="J510" s="1"/>
      <c r="K510" s="21">
        <f t="shared" si="438"/>
        <v>40912.211981566819</v>
      </c>
      <c r="L510" s="21">
        <f t="shared" si="439"/>
        <v>1405.0691244239631</v>
      </c>
      <c r="M510" s="31">
        <f t="shared" si="442"/>
        <v>-6.2559694364851953E-2</v>
      </c>
      <c r="N510" s="31">
        <f t="shared" si="443"/>
        <v>2.7811366384522369E-2</v>
      </c>
      <c r="O510" s="43">
        <f t="shared" si="444"/>
        <v>26.497695852534562</v>
      </c>
      <c r="P510" s="49">
        <f t="shared" si="445"/>
        <v>1.8858642177763202E-2</v>
      </c>
      <c r="Q510" s="47">
        <f t="shared" si="446"/>
        <v>452.30414746543778</v>
      </c>
      <c r="R510" s="66">
        <f t="shared" si="447"/>
        <v>90.45287824758023</v>
      </c>
      <c r="S510" s="92">
        <f t="shared" si="440"/>
        <v>18.663594470046082</v>
      </c>
      <c r="T510" s="93">
        <f t="shared" si="448"/>
        <v>0.2304147465437788</v>
      </c>
      <c r="V510" s="98" t="str">
        <f t="shared" si="449"/>
        <v>AL</v>
      </c>
      <c r="W510" s="100">
        <f t="shared" si="450"/>
        <v>17.811731640624622</v>
      </c>
      <c r="X510" s="103">
        <f t="shared" si="451"/>
        <v>1.3087192753710194E-2</v>
      </c>
    </row>
    <row r="511" spans="2:24" x14ac:dyDescent="0.3">
      <c r="B511" s="5" t="s">
        <v>4</v>
      </c>
      <c r="C511" s="1">
        <v>284</v>
      </c>
      <c r="D511" s="14">
        <v>1.36</v>
      </c>
      <c r="E511" s="1">
        <v>247</v>
      </c>
      <c r="F511" s="1">
        <v>7</v>
      </c>
      <c r="G511" s="1">
        <v>29343</v>
      </c>
      <c r="H511" s="1">
        <f t="shared" si="441"/>
        <v>30</v>
      </c>
      <c r="I511" s="1"/>
      <c r="J511" s="1"/>
      <c r="K511" s="21">
        <f t="shared" si="438"/>
        <v>21575.735294117647</v>
      </c>
      <c r="L511" s="21">
        <f t="shared" si="439"/>
        <v>208.8235294117647</v>
      </c>
      <c r="M511" s="31">
        <f t="shared" si="442"/>
        <v>-0.11764705882352941</v>
      </c>
      <c r="N511" s="31">
        <f t="shared" si="443"/>
        <v>2.7559055118110236E-2</v>
      </c>
      <c r="O511" s="43">
        <f t="shared" si="444"/>
        <v>5.1470588235294112</v>
      </c>
      <c r="P511" s="49">
        <f t="shared" si="445"/>
        <v>2.464788732394366E-2</v>
      </c>
      <c r="Q511" s="47">
        <f t="shared" si="446"/>
        <v>22.058823529411764</v>
      </c>
      <c r="R511" s="66">
        <f t="shared" si="447"/>
        <v>978.1</v>
      </c>
      <c r="S511" s="92">
        <f t="shared" si="440"/>
        <v>0</v>
      </c>
      <c r="T511" s="93">
        <f t="shared" si="448"/>
        <v>0</v>
      </c>
      <c r="V511" s="98" t="str">
        <f t="shared" si="449"/>
        <v>MA</v>
      </c>
      <c r="W511" s="100">
        <f t="shared" si="450"/>
        <v>40.572375616913433</v>
      </c>
      <c r="X511" s="103">
        <f t="shared" si="451"/>
        <v>3.6882096156416531E-3</v>
      </c>
    </row>
    <row r="512" spans="2:24" x14ac:dyDescent="0.3">
      <c r="B512" s="5" t="s">
        <v>5</v>
      </c>
      <c r="C512" s="1">
        <v>544</v>
      </c>
      <c r="D512" s="14">
        <v>1.17</v>
      </c>
      <c r="E512" s="1">
        <v>335</v>
      </c>
      <c r="F512" s="1">
        <v>6</v>
      </c>
      <c r="G512" s="1">
        <v>35176</v>
      </c>
      <c r="H512" s="1">
        <f t="shared" si="441"/>
        <v>203</v>
      </c>
      <c r="I512" s="1"/>
      <c r="J512" s="1"/>
      <c r="K512" s="21">
        <f t="shared" si="438"/>
        <v>30064.957264957266</v>
      </c>
      <c r="L512" s="21">
        <f t="shared" si="439"/>
        <v>464.95726495726501</v>
      </c>
      <c r="M512" s="31">
        <f t="shared" si="442"/>
        <v>3.5714285714285712E-2</v>
      </c>
      <c r="N512" s="31">
        <f t="shared" si="443"/>
        <v>1.7595307917888565E-2</v>
      </c>
      <c r="O512" s="43">
        <f t="shared" si="444"/>
        <v>5.1282051282051286</v>
      </c>
      <c r="P512" s="49">
        <f t="shared" si="445"/>
        <v>1.1029411764705883E-2</v>
      </c>
      <c r="Q512" s="47">
        <f t="shared" si="446"/>
        <v>173.50427350427353</v>
      </c>
      <c r="R512" s="66">
        <f t="shared" si="447"/>
        <v>173.2807881773399</v>
      </c>
      <c r="S512" s="92">
        <f t="shared" si="440"/>
        <v>11.111111111111112</v>
      </c>
      <c r="T512" s="93">
        <f t="shared" si="448"/>
        <v>0</v>
      </c>
      <c r="V512" s="98" t="str">
        <f t="shared" si="449"/>
        <v>SA</v>
      </c>
      <c r="W512" s="100">
        <f t="shared" si="450"/>
        <v>90.983095916429249</v>
      </c>
      <c r="X512" s="103">
        <f t="shared" si="451"/>
        <v>5.8932412008832593E-3</v>
      </c>
    </row>
    <row r="513" spans="2:24" x14ac:dyDescent="0.3">
      <c r="B513" s="5" t="s">
        <v>6</v>
      </c>
      <c r="C513" s="1">
        <v>1008</v>
      </c>
      <c r="D513" s="14">
        <v>0.96499999999999997</v>
      </c>
      <c r="E513" s="1">
        <v>722</v>
      </c>
      <c r="F513" s="1">
        <v>46</v>
      </c>
      <c r="G513" s="1">
        <f>32835+C513</f>
        <v>33843</v>
      </c>
      <c r="H513" s="1">
        <f t="shared" si="441"/>
        <v>240</v>
      </c>
      <c r="I513" s="1"/>
      <c r="J513" s="1"/>
      <c r="K513" s="21">
        <f t="shared" si="438"/>
        <v>35070.466321243526</v>
      </c>
      <c r="L513" s="21">
        <f t="shared" si="439"/>
        <v>1044.5595854922281</v>
      </c>
      <c r="M513" s="31">
        <f t="shared" si="442"/>
        <v>-5.8823529411764705E-2</v>
      </c>
      <c r="N513" s="31">
        <f t="shared" si="443"/>
        <v>5.9895833333333336E-2</v>
      </c>
      <c r="O513" s="43">
        <f t="shared" si="444"/>
        <v>47.668393782383419</v>
      </c>
      <c r="P513" s="49">
        <f t="shared" si="445"/>
        <v>4.5634920634920632E-2</v>
      </c>
      <c r="Q513" s="47">
        <f t="shared" si="446"/>
        <v>248.70466321243524</v>
      </c>
      <c r="R513" s="66">
        <f t="shared" si="447"/>
        <v>141.01249999999999</v>
      </c>
      <c r="S513" s="92">
        <f t="shared" si="440"/>
        <v>1.0362694300518136</v>
      </c>
      <c r="T513" s="93">
        <f t="shared" si="448"/>
        <v>2.0725388601036272</v>
      </c>
      <c r="V513" s="98" t="str">
        <f t="shared" si="449"/>
        <v>NS</v>
      </c>
      <c r="W513" s="100">
        <f t="shared" si="450"/>
        <v>8.101596520955562</v>
      </c>
      <c r="X513" s="103">
        <f t="shared" si="451"/>
        <v>1.1349936911432705E-2</v>
      </c>
    </row>
    <row r="514" spans="2:24" x14ac:dyDescent="0.3">
      <c r="B514" s="5" t="s">
        <v>7</v>
      </c>
      <c r="C514" s="1">
        <v>120</v>
      </c>
      <c r="D514" s="14">
        <v>0.77200000000000002</v>
      </c>
      <c r="E514" s="1">
        <v>118</v>
      </c>
      <c r="F514" s="1">
        <v>0</v>
      </c>
      <c r="G514" s="1">
        <v>17029</v>
      </c>
      <c r="H514" s="1">
        <f t="shared" si="441"/>
        <v>2</v>
      </c>
      <c r="I514" s="1"/>
      <c r="J514" s="1"/>
      <c r="K514" s="21">
        <f t="shared" si="438"/>
        <v>22058.290155440412</v>
      </c>
      <c r="L514" s="21">
        <f t="shared" si="439"/>
        <v>155.440414507772</v>
      </c>
      <c r="M514" s="31">
        <f t="shared" si="442"/>
        <v>0</v>
      </c>
      <c r="N514" s="31">
        <f t="shared" si="443"/>
        <v>0</v>
      </c>
      <c r="O514" s="43">
        <f t="shared" si="444"/>
        <v>0</v>
      </c>
      <c r="P514" s="49">
        <f t="shared" si="445"/>
        <v>0</v>
      </c>
      <c r="Q514" s="47">
        <f t="shared" si="446"/>
        <v>2.5906735751295336</v>
      </c>
      <c r="R514" s="66">
        <f>IFERROR(G514/H514,20000)</f>
        <v>8514.5</v>
      </c>
      <c r="S514" s="92">
        <f t="shared" si="440"/>
        <v>0</v>
      </c>
      <c r="T514" s="93">
        <f t="shared" si="448"/>
        <v>0</v>
      </c>
      <c r="V514" s="98" t="str">
        <f t="shared" si="449"/>
        <v>NB</v>
      </c>
      <c r="W514" s="100">
        <f t="shared" si="450"/>
        <v>400.86355785837651</v>
      </c>
      <c r="X514" s="103">
        <f t="shared" si="451"/>
        <v>2.6853065421564965E-3</v>
      </c>
    </row>
    <row r="515" spans="2:24" x14ac:dyDescent="0.3">
      <c r="B515" s="5" t="s">
        <v>18</v>
      </c>
      <c r="C515" s="9">
        <v>27</v>
      </c>
      <c r="D515" s="15">
        <v>0.154</v>
      </c>
      <c r="E515" s="9">
        <v>27</v>
      </c>
      <c r="F515" s="9">
        <v>0</v>
      </c>
      <c r="G515" s="9">
        <v>3816</v>
      </c>
      <c r="H515" s="1">
        <f t="shared" si="441"/>
        <v>0</v>
      </c>
      <c r="I515" s="9"/>
      <c r="J515" s="9"/>
      <c r="K515" s="22">
        <f t="shared" si="438"/>
        <v>24779.220779220781</v>
      </c>
      <c r="L515" s="22">
        <f t="shared" si="439"/>
        <v>175.32467532467533</v>
      </c>
      <c r="M515" s="31">
        <f t="shared" si="442"/>
        <v>-1</v>
      </c>
      <c r="N515" s="31">
        <f t="shared" si="443"/>
        <v>0</v>
      </c>
      <c r="O515" s="44">
        <f t="shared" si="444"/>
        <v>0</v>
      </c>
      <c r="P515" s="49">
        <f t="shared" si="445"/>
        <v>0</v>
      </c>
      <c r="Q515" s="47">
        <f t="shared" si="446"/>
        <v>0</v>
      </c>
      <c r="R515" s="66">
        <f>IFERROR(G515/H515,20000)</f>
        <v>20000</v>
      </c>
      <c r="S515" s="92">
        <f t="shared" si="440"/>
        <v>0</v>
      </c>
      <c r="T515" s="93">
        <f t="shared" si="448"/>
        <v>0</v>
      </c>
      <c r="V515" s="98" t="str">
        <f t="shared" si="449"/>
        <v>PEI</v>
      </c>
      <c r="W515" s="100">
        <f t="shared" si="450"/>
        <v>400.97402597402595</v>
      </c>
      <c r="X515" s="103">
        <f t="shared" si="451"/>
        <v>2.6962314331593737E-3</v>
      </c>
    </row>
    <row r="516" spans="2:24" ht="15" thickBot="1" x14ac:dyDescent="0.35">
      <c r="B516" s="5" t="s">
        <v>11</v>
      </c>
      <c r="C516" s="9">
        <v>261</v>
      </c>
      <c r="D516" s="15">
        <v>0.52400000000000002</v>
      </c>
      <c r="E516" s="9">
        <v>244</v>
      </c>
      <c r="F516" s="9">
        <v>3</v>
      </c>
      <c r="G516" s="9">
        <v>9592</v>
      </c>
      <c r="H516" s="9">
        <f t="shared" si="441"/>
        <v>14</v>
      </c>
      <c r="I516" s="9"/>
      <c r="J516" s="9"/>
      <c r="K516" s="22">
        <f t="shared" si="438"/>
        <v>18305.343511450381</v>
      </c>
      <c r="L516" s="22">
        <f t="shared" si="439"/>
        <v>498.09160305343511</v>
      </c>
      <c r="M516" s="31">
        <f t="shared" si="442"/>
        <v>0</v>
      </c>
      <c r="N516" s="32">
        <f t="shared" si="443"/>
        <v>1.2145748987854251E-2</v>
      </c>
      <c r="O516" s="44">
        <f t="shared" si="444"/>
        <v>5.7251908396946565</v>
      </c>
      <c r="P516" s="50">
        <f t="shared" si="445"/>
        <v>1.1494252873563218E-2</v>
      </c>
      <c r="Q516" s="48">
        <f t="shared" si="446"/>
        <v>26.717557251908396</v>
      </c>
      <c r="R516" s="67">
        <f>G516/H516</f>
        <v>685.14285714285711</v>
      </c>
      <c r="S516" s="92">
        <f t="shared" si="440"/>
        <v>0</v>
      </c>
      <c r="T516" s="93">
        <f t="shared" si="448"/>
        <v>0</v>
      </c>
      <c r="V516" s="99" t="str">
        <f t="shared" si="449"/>
        <v>NFLD</v>
      </c>
      <c r="W516" s="107">
        <f t="shared" si="450"/>
        <v>78.747175572519083</v>
      </c>
      <c r="X516" s="103">
        <f t="shared" si="451"/>
        <v>1.0368910040281796E-2</v>
      </c>
    </row>
    <row r="517" spans="2:24" ht="15" thickBot="1" x14ac:dyDescent="0.35">
      <c r="B517" s="11" t="s">
        <v>10</v>
      </c>
      <c r="C517" s="12">
        <v>66434</v>
      </c>
      <c r="D517" s="16">
        <v>37.6</v>
      </c>
      <c r="E517" s="12">
        <v>30406</v>
      </c>
      <c r="F517" s="12">
        <v>4569</v>
      </c>
      <c r="G517" s="12">
        <f>SUM(G507:G516)</f>
        <v>1074610</v>
      </c>
      <c r="H517" s="81">
        <f t="shared" si="441"/>
        <v>31459</v>
      </c>
      <c r="I517" s="111"/>
      <c r="J517" s="111"/>
      <c r="K517" s="77">
        <f t="shared" si="438"/>
        <v>28580.053191489362</v>
      </c>
      <c r="L517" s="23">
        <f t="shared" si="439"/>
        <v>1766.8617021276596</v>
      </c>
      <c r="M517" s="31">
        <f t="shared" si="442"/>
        <v>0</v>
      </c>
      <c r="N517" s="33">
        <f t="shared" si="443"/>
        <v>0.13063616869192279</v>
      </c>
      <c r="O517" s="45">
        <f>F517/D517</f>
        <v>121.5159574468085</v>
      </c>
      <c r="P517" s="53">
        <f t="shared" si="445"/>
        <v>6.8775024836680007E-2</v>
      </c>
      <c r="Q517" s="55">
        <f t="shared" si="446"/>
        <v>836.67553191489355</v>
      </c>
      <c r="R517" s="74">
        <f>G517/H517</f>
        <v>34.159064178772368</v>
      </c>
      <c r="S517" s="92">
        <f t="shared" si="440"/>
        <v>42.526595744680847</v>
      </c>
      <c r="T517" s="93">
        <f t="shared" si="448"/>
        <v>4.3882978723404253</v>
      </c>
      <c r="V517" s="108" t="str">
        <f t="shared" si="449"/>
        <v>Canada</v>
      </c>
      <c r="W517" s="109">
        <f t="shared" si="450"/>
        <v>10.414180343112925</v>
      </c>
      <c r="X517" s="103">
        <f t="shared" si="451"/>
        <v>2.3558156028368794E-2</v>
      </c>
    </row>
    <row r="518" spans="2:24" ht="15" thickBot="1" x14ac:dyDescent="0.35">
      <c r="B518" s="6" t="s">
        <v>9</v>
      </c>
      <c r="C518" s="7">
        <v>1312580</v>
      </c>
      <c r="D518" s="7">
        <v>327</v>
      </c>
      <c r="E518" s="7">
        <v>220997</v>
      </c>
      <c r="F518" s="7">
        <v>78095</v>
      </c>
      <c r="G518" s="7">
        <v>8538758</v>
      </c>
      <c r="H518" s="82">
        <f t="shared" si="441"/>
        <v>1013488</v>
      </c>
      <c r="I518" s="112"/>
      <c r="J518" s="112"/>
      <c r="K518" s="78">
        <f t="shared" si="438"/>
        <v>26112.409785932723</v>
      </c>
      <c r="L518" s="24">
        <f t="shared" si="439"/>
        <v>4014.006116207951</v>
      </c>
      <c r="M518" s="31">
        <f t="shared" si="442"/>
        <v>1.7666538808347072E-2</v>
      </c>
      <c r="N518" s="33">
        <f t="shared" si="443"/>
        <v>0.26110695036978587</v>
      </c>
      <c r="O518" s="46">
        <f>F518/D518</f>
        <v>238.82262996941895</v>
      </c>
      <c r="P518" s="52">
        <f t="shared" si="445"/>
        <v>5.9497325877279864E-2</v>
      </c>
      <c r="Q518" s="54">
        <f t="shared" si="446"/>
        <v>3099.3516819571864</v>
      </c>
      <c r="R518" s="72">
        <f>G518/H518</f>
        <v>8.4251199816870059</v>
      </c>
      <c r="S518" s="92">
        <f t="shared" si="440"/>
        <v>76.718654434250766</v>
      </c>
      <c r="T518" s="93">
        <f t="shared" si="448"/>
        <v>4.287461773700306</v>
      </c>
      <c r="V518" s="108" t="str">
        <f t="shared" si="449"/>
        <v>USA</v>
      </c>
      <c r="W518" s="109">
        <f t="shared" si="450"/>
        <v>22.651916002712209</v>
      </c>
      <c r="X518" s="103">
        <f t="shared" si="451"/>
        <v>5.8577771643268807E-2</v>
      </c>
    </row>
    <row r="519" spans="2:24" ht="15" thickBot="1" x14ac:dyDescent="0.35"/>
    <row r="520" spans="2:24" ht="29.4" thickBot="1" x14ac:dyDescent="0.35">
      <c r="B520" s="96">
        <v>39934</v>
      </c>
      <c r="C520" s="18" t="s">
        <v>8</v>
      </c>
      <c r="D520" s="19" t="s">
        <v>17</v>
      </c>
      <c r="E520" s="19" t="s">
        <v>15</v>
      </c>
      <c r="F520" s="19" t="s">
        <v>16</v>
      </c>
      <c r="G520" s="19" t="s">
        <v>14</v>
      </c>
      <c r="H520" s="19" t="s">
        <v>38</v>
      </c>
      <c r="I520" s="19"/>
      <c r="J520" s="19"/>
      <c r="K520" s="19" t="s">
        <v>21</v>
      </c>
      <c r="L520" s="19" t="s">
        <v>20</v>
      </c>
      <c r="M520" s="19" t="s">
        <v>40</v>
      </c>
      <c r="N520" s="19" t="s">
        <v>32</v>
      </c>
      <c r="O520" s="19" t="s">
        <v>22</v>
      </c>
      <c r="P520" s="51" t="s">
        <v>34</v>
      </c>
      <c r="Q520" s="20" t="s">
        <v>35</v>
      </c>
      <c r="R520" s="63" t="s">
        <v>39</v>
      </c>
      <c r="S520" s="91" t="s">
        <v>43</v>
      </c>
      <c r="T520" s="91" t="s">
        <v>44</v>
      </c>
      <c r="V520" s="104" t="s">
        <v>48</v>
      </c>
      <c r="W520" s="105" t="s">
        <v>49</v>
      </c>
      <c r="X520" s="106" t="s">
        <v>50</v>
      </c>
    </row>
    <row r="521" spans="2:24" x14ac:dyDescent="0.3">
      <c r="B521" s="3" t="s">
        <v>0</v>
      </c>
      <c r="C521" s="1">
        <v>19944</v>
      </c>
      <c r="D521" s="14">
        <v>14.45</v>
      </c>
      <c r="E521" s="1">
        <v>14383</v>
      </c>
      <c r="F521" s="1">
        <v>1599</v>
      </c>
      <c r="G521" s="1">
        <v>416376</v>
      </c>
      <c r="H521" s="1">
        <f>C521-E521-F521</f>
        <v>3962</v>
      </c>
      <c r="I521" s="1"/>
      <c r="J521" s="1"/>
      <c r="K521" s="21">
        <f t="shared" ref="K521:K532" si="452">G521/D521</f>
        <v>28814.948096885815</v>
      </c>
      <c r="L521" s="21">
        <f t="shared" ref="L521:L532" si="453">C521/D521</f>
        <v>1380.2076124567475</v>
      </c>
      <c r="M521" s="31">
        <f>(H521-H507)/H507</f>
        <v>-2.6057030481809244E-2</v>
      </c>
      <c r="N521" s="31">
        <f>F521/(E521+F521)</f>
        <v>0.10005005631335252</v>
      </c>
      <c r="O521" s="43">
        <f>F521/D521</f>
        <v>110.65743944636679</v>
      </c>
      <c r="P521" s="49">
        <f>F521/C521</f>
        <v>8.0174488567990379E-2</v>
      </c>
      <c r="Q521" s="47">
        <f>(C521-E521-F521)/D521</f>
        <v>274.18685121107268</v>
      </c>
      <c r="R521" s="66">
        <f>G521/H521</f>
        <v>105.09237758707724</v>
      </c>
      <c r="S521" s="92">
        <f t="shared" ref="S521:S532" si="454">(C521-C507)/D521</f>
        <v>23.944636678200695</v>
      </c>
      <c r="T521" s="93">
        <f>(F521-F507)/D521</f>
        <v>4.0830449826989623</v>
      </c>
      <c r="V521" s="101" t="str">
        <f>B521</f>
        <v>ON</v>
      </c>
      <c r="W521" s="102">
        <f>C521/D521/180+IFERROR((D521*C521*5)/(F521*F521),400)</f>
        <v>8.2313969764409691</v>
      </c>
      <c r="X521" s="103">
        <f>L521/75000/K521*K$531</f>
        <v>1.8940849923289465E-2</v>
      </c>
    </row>
    <row r="522" spans="2:24" x14ac:dyDescent="0.3">
      <c r="B522" s="5" t="s">
        <v>1</v>
      </c>
      <c r="C522" s="1">
        <v>36986</v>
      </c>
      <c r="D522" s="14">
        <v>8.43</v>
      </c>
      <c r="E522" s="1">
        <v>9268</v>
      </c>
      <c r="F522" s="1">
        <v>2786</v>
      </c>
      <c r="G522" s="1">
        <v>281370</v>
      </c>
      <c r="H522" s="1">
        <f t="shared" ref="H522:H532" si="455">C522-E522-F522</f>
        <v>24932</v>
      </c>
      <c r="I522" s="1"/>
      <c r="J522" s="1"/>
      <c r="K522" s="21">
        <f t="shared" si="452"/>
        <v>33377.224199288255</v>
      </c>
      <c r="L522" s="21">
        <f t="shared" si="453"/>
        <v>4387.4258600237254</v>
      </c>
      <c r="M522" s="31">
        <f t="shared" ref="M522:M532" si="456">(H522-H508)/H508</f>
        <v>1.7757276401191981E-2</v>
      </c>
      <c r="N522" s="31">
        <f t="shared" ref="N522:N532" si="457">F522/(E522+F522)</f>
        <v>0.23112659698025551</v>
      </c>
      <c r="O522" s="43">
        <f t="shared" ref="O522:O530" si="458">F522/D522</f>
        <v>330.48635824436536</v>
      </c>
      <c r="P522" s="49">
        <f t="shared" ref="P522:P532" si="459">F522/C522</f>
        <v>7.5325798950954412E-2</v>
      </c>
      <c r="Q522" s="47">
        <f t="shared" ref="Q522:Q532" si="460">(C522-E522-F522)/D522</f>
        <v>2957.5326215895611</v>
      </c>
      <c r="R522" s="66">
        <f t="shared" ref="R522:R527" si="461">G522/H522</f>
        <v>11.28549655061768</v>
      </c>
      <c r="S522" s="92">
        <f t="shared" si="454"/>
        <v>99.169632265717681</v>
      </c>
      <c r="T522" s="93">
        <f t="shared" ref="T522:T532" si="462">(F522-F508)/D522</f>
        <v>7.2360616844602612</v>
      </c>
      <c r="V522" s="98" t="str">
        <f t="shared" ref="V522:V532" si="463">B522</f>
        <v>QC</v>
      </c>
      <c r="W522" s="100">
        <f t="shared" ref="W522:W532" si="464">C522/D522/180+IFERROR((D522*C522*5)/(F522*F522),400)</f>
        <v>24.575438520091591</v>
      </c>
      <c r="X522" s="103">
        <f t="shared" ref="X522:X532" si="465">L522/75000/K522*K$531</f>
        <v>5.1979543487450083E-2</v>
      </c>
    </row>
    <row r="523" spans="2:24" x14ac:dyDescent="0.3">
      <c r="B523" s="5" t="s">
        <v>2</v>
      </c>
      <c r="C523" s="1">
        <v>2330</v>
      </c>
      <c r="D523" s="14">
        <v>5.0199999999999996</v>
      </c>
      <c r="E523" s="1">
        <v>1659</v>
      </c>
      <c r="F523" s="1">
        <v>129</v>
      </c>
      <c r="G523" s="1">
        <v>104994</v>
      </c>
      <c r="H523" s="1">
        <f t="shared" si="455"/>
        <v>542</v>
      </c>
      <c r="I523" s="1"/>
      <c r="J523" s="1"/>
      <c r="K523" s="21">
        <f t="shared" si="452"/>
        <v>20915.139442231077</v>
      </c>
      <c r="L523" s="21">
        <f t="shared" si="453"/>
        <v>464.14342629482076</v>
      </c>
      <c r="M523" s="31">
        <f t="shared" si="456"/>
        <v>-0.11001642036124795</v>
      </c>
      <c r="N523" s="31">
        <f t="shared" si="457"/>
        <v>7.2147651006711416E-2</v>
      </c>
      <c r="O523" s="43">
        <f t="shared" si="458"/>
        <v>25.69721115537849</v>
      </c>
      <c r="P523" s="49">
        <f t="shared" si="459"/>
        <v>5.536480686695279E-2</v>
      </c>
      <c r="Q523" s="47">
        <f t="shared" si="460"/>
        <v>107.96812749003985</v>
      </c>
      <c r="R523" s="66">
        <f t="shared" si="461"/>
        <v>193.71586715867159</v>
      </c>
      <c r="S523" s="92">
        <f t="shared" si="454"/>
        <v>2.9880478087649407</v>
      </c>
      <c r="T523" s="93">
        <f t="shared" si="462"/>
        <v>0.39840637450199207</v>
      </c>
      <c r="V523" s="98" t="str">
        <f t="shared" si="463"/>
        <v>BC</v>
      </c>
      <c r="W523" s="100">
        <f t="shared" si="464"/>
        <v>6.092966754459237</v>
      </c>
      <c r="X523" s="103">
        <f t="shared" si="465"/>
        <v>8.7753475477220771E-3</v>
      </c>
    </row>
    <row r="524" spans="2:24" x14ac:dyDescent="0.3">
      <c r="B524" s="5" t="s">
        <v>3</v>
      </c>
      <c r="C524" s="1">
        <v>6157</v>
      </c>
      <c r="D524" s="14">
        <v>4.34</v>
      </c>
      <c r="E524" s="1">
        <v>4204</v>
      </c>
      <c r="F524" s="1">
        <v>116</v>
      </c>
      <c r="G524" s="1">
        <v>181107</v>
      </c>
      <c r="H524" s="1">
        <f t="shared" si="455"/>
        <v>1837</v>
      </c>
      <c r="I524" s="1"/>
      <c r="J524" s="1"/>
      <c r="K524" s="21">
        <f t="shared" si="452"/>
        <v>41729.72350230415</v>
      </c>
      <c r="L524" s="21">
        <f t="shared" si="453"/>
        <v>1418.6635944700461</v>
      </c>
      <c r="M524" s="31">
        <f t="shared" si="456"/>
        <v>-6.4187468160978089E-2</v>
      </c>
      <c r="N524" s="31">
        <f t="shared" si="457"/>
        <v>2.6851851851851852E-2</v>
      </c>
      <c r="O524" s="43">
        <f t="shared" si="458"/>
        <v>26.728110599078342</v>
      </c>
      <c r="P524" s="49">
        <f t="shared" si="459"/>
        <v>1.8840344323534187E-2</v>
      </c>
      <c r="Q524" s="47">
        <f t="shared" si="460"/>
        <v>423.27188940092168</v>
      </c>
      <c r="R524" s="66">
        <f t="shared" si="461"/>
        <v>98.588459444746874</v>
      </c>
      <c r="S524" s="92">
        <f t="shared" si="454"/>
        <v>13.59447004608295</v>
      </c>
      <c r="T524" s="93">
        <f t="shared" si="462"/>
        <v>0.2304147465437788</v>
      </c>
      <c r="V524" s="98" t="str">
        <f t="shared" si="463"/>
        <v>AL</v>
      </c>
      <c r="W524" s="100">
        <f t="shared" si="464"/>
        <v>17.810633557598813</v>
      </c>
      <c r="X524" s="103">
        <f t="shared" si="465"/>
        <v>1.344332825346342E-2</v>
      </c>
    </row>
    <row r="525" spans="2:24" x14ac:dyDescent="0.3">
      <c r="B525" s="5" t="s">
        <v>4</v>
      </c>
      <c r="C525" s="1">
        <v>284</v>
      </c>
      <c r="D525" s="14">
        <v>1.36</v>
      </c>
      <c r="E525" s="1">
        <v>247</v>
      </c>
      <c r="F525" s="1">
        <v>7</v>
      </c>
      <c r="G525" s="1">
        <v>30014</v>
      </c>
      <c r="H525" s="1">
        <f t="shared" si="455"/>
        <v>30</v>
      </c>
      <c r="I525" s="1"/>
      <c r="J525" s="1"/>
      <c r="K525" s="21">
        <f t="shared" si="452"/>
        <v>22069.117647058822</v>
      </c>
      <c r="L525" s="21">
        <f t="shared" si="453"/>
        <v>208.8235294117647</v>
      </c>
      <c r="M525" s="31">
        <f t="shared" si="456"/>
        <v>0</v>
      </c>
      <c r="N525" s="31">
        <f t="shared" si="457"/>
        <v>2.7559055118110236E-2</v>
      </c>
      <c r="O525" s="43">
        <f t="shared" si="458"/>
        <v>5.1470588235294112</v>
      </c>
      <c r="P525" s="49">
        <f t="shared" si="459"/>
        <v>2.464788732394366E-2</v>
      </c>
      <c r="Q525" s="47">
        <f t="shared" si="460"/>
        <v>22.058823529411764</v>
      </c>
      <c r="R525" s="66">
        <f t="shared" si="461"/>
        <v>1000.4666666666667</v>
      </c>
      <c r="S525" s="92">
        <f t="shared" si="454"/>
        <v>0</v>
      </c>
      <c r="T525" s="93">
        <f t="shared" si="462"/>
        <v>0</v>
      </c>
      <c r="V525" s="98" t="str">
        <f t="shared" si="463"/>
        <v>MA</v>
      </c>
      <c r="W525" s="100">
        <f t="shared" si="464"/>
        <v>40.572375616913433</v>
      </c>
      <c r="X525" s="103">
        <f t="shared" si="465"/>
        <v>3.741686078411635E-3</v>
      </c>
    </row>
    <row r="526" spans="2:24" x14ac:dyDescent="0.3">
      <c r="B526" s="5" t="s">
        <v>5</v>
      </c>
      <c r="C526" s="1">
        <v>553</v>
      </c>
      <c r="D526" s="14">
        <v>1.17</v>
      </c>
      <c r="E526" s="1">
        <v>340</v>
      </c>
      <c r="F526" s="1">
        <v>6</v>
      </c>
      <c r="G526" s="1">
        <v>36117</v>
      </c>
      <c r="H526" s="1">
        <f t="shared" si="455"/>
        <v>207</v>
      </c>
      <c r="I526" s="1"/>
      <c r="J526" s="1"/>
      <c r="K526" s="21">
        <f t="shared" si="452"/>
        <v>30869.23076923077</v>
      </c>
      <c r="L526" s="21">
        <f t="shared" si="453"/>
        <v>472.64957264957269</v>
      </c>
      <c r="M526" s="31">
        <f t="shared" si="456"/>
        <v>1.9704433497536946E-2</v>
      </c>
      <c r="N526" s="31">
        <f t="shared" si="457"/>
        <v>1.7341040462427744E-2</v>
      </c>
      <c r="O526" s="43">
        <f t="shared" si="458"/>
        <v>5.1282051282051286</v>
      </c>
      <c r="P526" s="49">
        <f t="shared" si="459"/>
        <v>1.0849909584086799E-2</v>
      </c>
      <c r="Q526" s="47">
        <f t="shared" si="460"/>
        <v>176.92307692307693</v>
      </c>
      <c r="R526" s="66">
        <f t="shared" si="461"/>
        <v>174.47826086956522</v>
      </c>
      <c r="S526" s="92">
        <f t="shared" si="454"/>
        <v>7.6923076923076925</v>
      </c>
      <c r="T526" s="93">
        <f t="shared" si="462"/>
        <v>0</v>
      </c>
      <c r="V526" s="98" t="str">
        <f t="shared" si="463"/>
        <v>SA</v>
      </c>
      <c r="W526" s="100">
        <f t="shared" si="464"/>
        <v>92.488330959164301</v>
      </c>
      <c r="X526" s="103">
        <f t="shared" si="465"/>
        <v>6.0546124327613745E-3</v>
      </c>
    </row>
    <row r="527" spans="2:24" x14ac:dyDescent="0.3">
      <c r="B527" s="5" t="s">
        <v>6</v>
      </c>
      <c r="C527" s="1">
        <v>1011</v>
      </c>
      <c r="D527" s="14">
        <v>0.96499999999999997</v>
      </c>
      <c r="E527" s="1">
        <v>743</v>
      </c>
      <c r="F527" s="1">
        <v>47</v>
      </c>
      <c r="G527" s="1">
        <f>33190+C527</f>
        <v>34201</v>
      </c>
      <c r="H527" s="1">
        <f t="shared" si="455"/>
        <v>221</v>
      </c>
      <c r="I527" s="1"/>
      <c r="J527" s="1"/>
      <c r="K527" s="21">
        <f t="shared" si="452"/>
        <v>35441.450777202073</v>
      </c>
      <c r="L527" s="21">
        <f t="shared" si="453"/>
        <v>1047.6683937823834</v>
      </c>
      <c r="M527" s="31">
        <f t="shared" si="456"/>
        <v>-7.9166666666666663E-2</v>
      </c>
      <c r="N527" s="31">
        <f t="shared" si="457"/>
        <v>5.9493670886075947E-2</v>
      </c>
      <c r="O527" s="43">
        <f t="shared" si="458"/>
        <v>48.704663212435236</v>
      </c>
      <c r="P527" s="49">
        <f t="shared" si="459"/>
        <v>4.6488625123639958E-2</v>
      </c>
      <c r="Q527" s="47">
        <f t="shared" si="460"/>
        <v>229.0155440414508</v>
      </c>
      <c r="R527" s="66">
        <f t="shared" si="461"/>
        <v>154.75565610859729</v>
      </c>
      <c r="S527" s="92">
        <f t="shared" si="454"/>
        <v>3.1088082901554404</v>
      </c>
      <c r="T527" s="93">
        <f t="shared" si="462"/>
        <v>1.0362694300518136</v>
      </c>
      <c r="V527" s="98" t="str">
        <f t="shared" si="463"/>
        <v>NS</v>
      </c>
      <c r="W527" s="100">
        <f t="shared" si="464"/>
        <v>8.0286529396541546</v>
      </c>
      <c r="X527" s="103">
        <f t="shared" si="465"/>
        <v>1.1689212054892012E-2</v>
      </c>
    </row>
    <row r="528" spans="2:24" x14ac:dyDescent="0.3">
      <c r="B528" s="5" t="s">
        <v>7</v>
      </c>
      <c r="C528" s="1">
        <v>120</v>
      </c>
      <c r="D528" s="14">
        <v>0.77200000000000002</v>
      </c>
      <c r="E528" s="1">
        <v>118</v>
      </c>
      <c r="F528" s="1">
        <v>0</v>
      </c>
      <c r="G528" s="1">
        <v>17426</v>
      </c>
      <c r="H528" s="1">
        <f t="shared" si="455"/>
        <v>2</v>
      </c>
      <c r="I528" s="1"/>
      <c r="J528" s="1"/>
      <c r="K528" s="21">
        <f t="shared" si="452"/>
        <v>22572.538860103625</v>
      </c>
      <c r="L528" s="21">
        <f t="shared" si="453"/>
        <v>155.440414507772</v>
      </c>
      <c r="M528" s="31">
        <f t="shared" si="456"/>
        <v>0</v>
      </c>
      <c r="N528" s="31">
        <f t="shared" si="457"/>
        <v>0</v>
      </c>
      <c r="O528" s="43">
        <f t="shared" si="458"/>
        <v>0</v>
      </c>
      <c r="P528" s="49">
        <f t="shared" si="459"/>
        <v>0</v>
      </c>
      <c r="Q528" s="47">
        <f t="shared" si="460"/>
        <v>2.5906735751295336</v>
      </c>
      <c r="R528" s="66">
        <f>IFERROR(G528/H528,20000)</f>
        <v>8713</v>
      </c>
      <c r="S528" s="92">
        <f t="shared" si="454"/>
        <v>0</v>
      </c>
      <c r="T528" s="93">
        <f t="shared" si="462"/>
        <v>0</v>
      </c>
      <c r="V528" s="98" t="str">
        <f t="shared" si="463"/>
        <v>NB</v>
      </c>
      <c r="W528" s="100">
        <f t="shared" si="464"/>
        <v>400.86355785837651</v>
      </c>
      <c r="X528" s="103">
        <f t="shared" si="465"/>
        <v>2.7230550583500811E-3</v>
      </c>
    </row>
    <row r="529" spans="2:24" x14ac:dyDescent="0.3">
      <c r="B529" s="5" t="s">
        <v>18</v>
      </c>
      <c r="C529" s="9">
        <v>27</v>
      </c>
      <c r="D529" s="15">
        <v>0.154</v>
      </c>
      <c r="E529" s="9">
        <v>27</v>
      </c>
      <c r="F529" s="9">
        <v>0</v>
      </c>
      <c r="G529" s="9">
        <v>3816</v>
      </c>
      <c r="H529" s="1">
        <f t="shared" si="455"/>
        <v>0</v>
      </c>
      <c r="I529" s="9"/>
      <c r="J529" s="9"/>
      <c r="K529" s="22">
        <f t="shared" si="452"/>
        <v>24779.220779220781</v>
      </c>
      <c r="L529" s="22">
        <f t="shared" si="453"/>
        <v>175.32467532467533</v>
      </c>
      <c r="M529" s="31">
        <v>0</v>
      </c>
      <c r="N529" s="31">
        <f t="shared" si="457"/>
        <v>0</v>
      </c>
      <c r="O529" s="44">
        <f t="shared" si="458"/>
        <v>0</v>
      </c>
      <c r="P529" s="49">
        <f t="shared" si="459"/>
        <v>0</v>
      </c>
      <c r="Q529" s="47">
        <f t="shared" si="460"/>
        <v>0</v>
      </c>
      <c r="R529" s="66">
        <f>IFERROR(G529/H529,20000)</f>
        <v>20000</v>
      </c>
      <c r="S529" s="92">
        <f t="shared" si="454"/>
        <v>0</v>
      </c>
      <c r="T529" s="93">
        <f t="shared" si="462"/>
        <v>0</v>
      </c>
      <c r="V529" s="98" t="str">
        <f t="shared" si="463"/>
        <v>PEI</v>
      </c>
      <c r="W529" s="100">
        <f t="shared" si="464"/>
        <v>400.97402597402595</v>
      </c>
      <c r="X529" s="103">
        <f t="shared" si="465"/>
        <v>2.7978748494580487E-3</v>
      </c>
    </row>
    <row r="530" spans="2:24" ht="15" thickBot="1" x14ac:dyDescent="0.35">
      <c r="B530" s="5" t="s">
        <v>11</v>
      </c>
      <c r="C530" s="9">
        <v>261</v>
      </c>
      <c r="D530" s="15">
        <v>0.52400000000000002</v>
      </c>
      <c r="E530" s="9">
        <v>244</v>
      </c>
      <c r="F530" s="9">
        <v>3</v>
      </c>
      <c r="G530" s="9">
        <v>9700</v>
      </c>
      <c r="H530" s="9">
        <f t="shared" si="455"/>
        <v>14</v>
      </c>
      <c r="I530" s="9"/>
      <c r="J530" s="9"/>
      <c r="K530" s="22">
        <f t="shared" si="452"/>
        <v>18511.450381679388</v>
      </c>
      <c r="L530" s="22">
        <f t="shared" si="453"/>
        <v>498.09160305343511</v>
      </c>
      <c r="M530" s="31">
        <f t="shared" si="456"/>
        <v>0</v>
      </c>
      <c r="N530" s="32">
        <f t="shared" si="457"/>
        <v>1.2145748987854251E-2</v>
      </c>
      <c r="O530" s="44">
        <f t="shared" si="458"/>
        <v>5.7251908396946565</v>
      </c>
      <c r="P530" s="50">
        <f t="shared" si="459"/>
        <v>1.1494252873563218E-2</v>
      </c>
      <c r="Q530" s="48">
        <f t="shared" si="460"/>
        <v>26.717557251908396</v>
      </c>
      <c r="R530" s="67">
        <f>G530/H530</f>
        <v>692.85714285714289</v>
      </c>
      <c r="S530" s="92">
        <f t="shared" si="454"/>
        <v>0</v>
      </c>
      <c r="T530" s="93">
        <f t="shared" si="462"/>
        <v>0</v>
      </c>
      <c r="V530" s="99" t="str">
        <f t="shared" si="463"/>
        <v>NFLD</v>
      </c>
      <c r="W530" s="107">
        <f t="shared" si="464"/>
        <v>78.747175572519083</v>
      </c>
      <c r="X530" s="103">
        <f t="shared" si="465"/>
        <v>1.0640000767712219E-2</v>
      </c>
    </row>
    <row r="531" spans="2:24" ht="15" thickBot="1" x14ac:dyDescent="0.35">
      <c r="B531" s="11" t="s">
        <v>10</v>
      </c>
      <c r="C531" s="12">
        <v>67702</v>
      </c>
      <c r="D531" s="16">
        <v>37.6</v>
      </c>
      <c r="E531" s="12">
        <v>31249</v>
      </c>
      <c r="F531" s="12">
        <v>4693</v>
      </c>
      <c r="G531" s="12">
        <f>SUM(G521:G530)</f>
        <v>1115121</v>
      </c>
      <c r="H531" s="81">
        <f t="shared" si="455"/>
        <v>31760</v>
      </c>
      <c r="I531" s="111"/>
      <c r="J531" s="111"/>
      <c r="K531" s="77">
        <f t="shared" si="452"/>
        <v>29657.473404255317</v>
      </c>
      <c r="L531" s="23">
        <f t="shared" si="453"/>
        <v>1800.5851063829787</v>
      </c>
      <c r="M531" s="31">
        <f t="shared" si="456"/>
        <v>9.5680091547728791E-3</v>
      </c>
      <c r="N531" s="33">
        <f t="shared" si="457"/>
        <v>0.13057147626731958</v>
      </c>
      <c r="O531" s="45">
        <f>F531/D531</f>
        <v>124.81382978723404</v>
      </c>
      <c r="P531" s="53">
        <f t="shared" si="459"/>
        <v>6.9318483944344339E-2</v>
      </c>
      <c r="Q531" s="55">
        <f t="shared" si="460"/>
        <v>844.68085106382978</v>
      </c>
      <c r="R531" s="74">
        <f>G531/H531</f>
        <v>35.11086272040302</v>
      </c>
      <c r="S531" s="92">
        <f t="shared" si="454"/>
        <v>33.723404255319146</v>
      </c>
      <c r="T531" s="93">
        <f t="shared" si="462"/>
        <v>3.2978723404255317</v>
      </c>
      <c r="V531" s="108" t="str">
        <f t="shared" si="463"/>
        <v>Canada</v>
      </c>
      <c r="W531" s="109">
        <f t="shared" si="464"/>
        <v>10.581157969379371</v>
      </c>
      <c r="X531" s="103">
        <f t="shared" si="465"/>
        <v>2.4007801418439716E-2</v>
      </c>
    </row>
    <row r="532" spans="2:24" ht="15" thickBot="1" x14ac:dyDescent="0.35">
      <c r="B532" s="6" t="s">
        <v>9</v>
      </c>
      <c r="C532" s="7">
        <v>1341794</v>
      </c>
      <c r="D532" s="7">
        <v>327</v>
      </c>
      <c r="E532" s="7">
        <v>232360</v>
      </c>
      <c r="F532" s="7">
        <v>79847</v>
      </c>
      <c r="G532" s="7">
        <v>8571364</v>
      </c>
      <c r="H532" s="82">
        <f t="shared" si="455"/>
        <v>1029587</v>
      </c>
      <c r="I532" s="112"/>
      <c r="J532" s="112"/>
      <c r="K532" s="78">
        <f t="shared" si="452"/>
        <v>26212.12232415902</v>
      </c>
      <c r="L532" s="24">
        <f t="shared" si="453"/>
        <v>4103.3455657492359</v>
      </c>
      <c r="M532" s="31">
        <f t="shared" si="456"/>
        <v>1.5884746538686201E-2</v>
      </c>
      <c r="N532" s="33">
        <f t="shared" si="457"/>
        <v>0.25575019137943739</v>
      </c>
      <c r="O532" s="46">
        <f>F532/D532</f>
        <v>244.18042813455656</v>
      </c>
      <c r="P532" s="52">
        <f t="shared" si="459"/>
        <v>5.9507644243453166E-2</v>
      </c>
      <c r="Q532" s="54">
        <f t="shared" si="460"/>
        <v>3148.5840978593274</v>
      </c>
      <c r="R532" s="72">
        <f>G532/H532</f>
        <v>8.3250507242224305</v>
      </c>
      <c r="S532" s="92">
        <f t="shared" si="454"/>
        <v>89.339449541284409</v>
      </c>
      <c r="T532" s="93">
        <f t="shared" si="462"/>
        <v>5.3577981651376145</v>
      </c>
      <c r="V532" s="108" t="str">
        <f t="shared" si="463"/>
        <v>USA</v>
      </c>
      <c r="W532" s="109">
        <f t="shared" si="464"/>
        <v>23.140465619216748</v>
      </c>
      <c r="X532" s="103">
        <f t="shared" si="465"/>
        <v>6.1902586129021192E-2</v>
      </c>
    </row>
    <row r="533" spans="2:24" ht="15" thickBot="1" x14ac:dyDescent="0.35"/>
    <row r="534" spans="2:24" ht="29.4" thickBot="1" x14ac:dyDescent="0.35">
      <c r="B534" s="96">
        <v>40664</v>
      </c>
      <c r="C534" s="18" t="s">
        <v>8</v>
      </c>
      <c r="D534" s="19" t="s">
        <v>17</v>
      </c>
      <c r="E534" s="19" t="s">
        <v>15</v>
      </c>
      <c r="F534" s="19" t="s">
        <v>16</v>
      </c>
      <c r="G534" s="19" t="s">
        <v>14</v>
      </c>
      <c r="H534" s="19" t="s">
        <v>38</v>
      </c>
      <c r="I534" s="19"/>
      <c r="J534" s="19"/>
      <c r="K534" s="19" t="s">
        <v>21</v>
      </c>
      <c r="L534" s="19" t="s">
        <v>20</v>
      </c>
      <c r="M534" s="19" t="s">
        <v>40</v>
      </c>
      <c r="N534" s="19" t="s">
        <v>32</v>
      </c>
      <c r="O534" s="19" t="s">
        <v>22</v>
      </c>
      <c r="P534" s="51" t="s">
        <v>34</v>
      </c>
      <c r="Q534" s="20" t="s">
        <v>35</v>
      </c>
      <c r="R534" s="63" t="s">
        <v>39</v>
      </c>
      <c r="S534" s="91" t="s">
        <v>43</v>
      </c>
      <c r="T534" s="91" t="s">
        <v>44</v>
      </c>
      <c r="V534" s="104" t="s">
        <v>48</v>
      </c>
      <c r="W534" s="105" t="s">
        <v>49</v>
      </c>
      <c r="X534" s="106" t="s">
        <v>50</v>
      </c>
    </row>
    <row r="535" spans="2:24" x14ac:dyDescent="0.3">
      <c r="B535" s="3" t="s">
        <v>0</v>
      </c>
      <c r="C535" s="1">
        <v>20546</v>
      </c>
      <c r="D535" s="14">
        <v>14.45</v>
      </c>
      <c r="E535" s="1">
        <v>15131</v>
      </c>
      <c r="F535" s="1">
        <v>1669</v>
      </c>
      <c r="G535" s="1">
        <v>447964</v>
      </c>
      <c r="H535" s="1">
        <f>C535-E535-F535</f>
        <v>3746</v>
      </c>
      <c r="I535" s="1"/>
      <c r="J535" s="1"/>
      <c r="K535" s="21">
        <f t="shared" ref="K535:K546" si="466">G535/D535</f>
        <v>31000.968858131488</v>
      </c>
      <c r="L535" s="21">
        <f t="shared" ref="L535:L546" si="467">C535/D535</f>
        <v>1421.8685121107267</v>
      </c>
      <c r="M535" s="31">
        <f>(H535-H521)/H521</f>
        <v>-5.4517920242301871E-2</v>
      </c>
      <c r="N535" s="31">
        <f>F535/(E535+F535)</f>
        <v>9.9345238095238098E-2</v>
      </c>
      <c r="O535" s="43">
        <f>F535/D535</f>
        <v>115.50173010380624</v>
      </c>
      <c r="P535" s="49">
        <f>F535/C535</f>
        <v>8.1232356663097444E-2</v>
      </c>
      <c r="Q535" s="47">
        <f>(C535-E535-F535)/D535</f>
        <v>259.23875432525955</v>
      </c>
      <c r="R535" s="66">
        <f>G535/H535</f>
        <v>119.58462359850508</v>
      </c>
      <c r="S535" s="92">
        <f>(C535-C521)/D535/2</f>
        <v>20.830449826989621</v>
      </c>
      <c r="T535" s="93">
        <f>(F535-F521)/D535/2</f>
        <v>2.4221453287197234</v>
      </c>
      <c r="V535" s="101" t="str">
        <f>B535</f>
        <v>ON</v>
      </c>
      <c r="W535" s="102">
        <f>C535/D535/180+IFERROR((D535*C535*5)/(F535*F535),400)</f>
        <v>8.4321777840635015</v>
      </c>
      <c r="X535" s="103">
        <f>L535/75000/K535*K$545</f>
        <v>1.8937567939381655E-2</v>
      </c>
    </row>
    <row r="536" spans="2:24" x14ac:dyDescent="0.3">
      <c r="B536" s="5" t="s">
        <v>1</v>
      </c>
      <c r="C536" s="1">
        <v>38469</v>
      </c>
      <c r="D536" s="14">
        <v>8.43</v>
      </c>
      <c r="E536" s="1">
        <v>9703</v>
      </c>
      <c r="F536" s="1">
        <v>3013</v>
      </c>
      <c r="G536" s="1">
        <v>281370</v>
      </c>
      <c r="H536" s="1">
        <f t="shared" ref="H536:H546" si="468">C536-E536-F536</f>
        <v>25753</v>
      </c>
      <c r="I536" s="1"/>
      <c r="J536" s="1"/>
      <c r="K536" s="21">
        <f t="shared" si="466"/>
        <v>33377.224199288255</v>
      </c>
      <c r="L536" s="21">
        <f t="shared" si="467"/>
        <v>4563.3451957295374</v>
      </c>
      <c r="M536" s="31">
        <f t="shared" ref="M536:M546" si="469">(H536-H522)/H522</f>
        <v>3.2929568426119042E-2</v>
      </c>
      <c r="N536" s="31">
        <f t="shared" ref="N536:N546" si="470">F536/(E536+F536)</f>
        <v>0.2369455803711859</v>
      </c>
      <c r="O536" s="43">
        <f t="shared" ref="O536:O544" si="471">F536/D536</f>
        <v>357.41399762752076</v>
      </c>
      <c r="P536" s="49">
        <f t="shared" ref="P536:P546" si="472">F536/C536</f>
        <v>7.8322805375757101E-2</v>
      </c>
      <c r="Q536" s="47">
        <f t="shared" ref="Q536:Q546" si="473">(C536-E536-F536)/D536</f>
        <v>3054.9228944246738</v>
      </c>
      <c r="R536" s="66">
        <f t="shared" ref="R536:R541" si="474">G536/H536</f>
        <v>10.925717392148487</v>
      </c>
      <c r="S536" s="92">
        <f t="shared" ref="S536:S546" si="475">(C536-C522)/D536/2</f>
        <v>87.959667852906293</v>
      </c>
      <c r="T536" s="93">
        <f t="shared" ref="T536:T546" si="476">(F536-F522)/D536/2</f>
        <v>13.463819691577699</v>
      </c>
      <c r="V536" s="98" t="str">
        <f t="shared" ref="V536:V546" si="477">B536</f>
        <v>QC</v>
      </c>
      <c r="W536" s="100">
        <f t="shared" ref="W536:W546" si="478">C536/D536/180+IFERROR((D536*C536*5)/(F536*F536),400)</f>
        <v>25.530529580953321</v>
      </c>
      <c r="X536" s="103">
        <f t="shared" ref="X536:X546" si="479">L536/75000/K536*K$545</f>
        <v>5.6451195083478324E-2</v>
      </c>
    </row>
    <row r="537" spans="2:24" x14ac:dyDescent="0.3">
      <c r="B537" s="5" t="s">
        <v>2</v>
      </c>
      <c r="C537" s="1">
        <v>2353</v>
      </c>
      <c r="D537" s="14">
        <v>5.0199999999999996</v>
      </c>
      <c r="E537" s="1">
        <v>1719</v>
      </c>
      <c r="F537" s="1">
        <v>130</v>
      </c>
      <c r="G537" s="1">
        <v>111498</v>
      </c>
      <c r="H537" s="1">
        <f t="shared" si="468"/>
        <v>504</v>
      </c>
      <c r="I537" s="1"/>
      <c r="J537" s="1"/>
      <c r="K537" s="21">
        <f t="shared" si="466"/>
        <v>22210.756972111554</v>
      </c>
      <c r="L537" s="21">
        <f t="shared" si="467"/>
        <v>468.72509960159368</v>
      </c>
      <c r="M537" s="31">
        <f t="shared" si="469"/>
        <v>-7.0110701107011064E-2</v>
      </c>
      <c r="N537" s="31">
        <f t="shared" si="470"/>
        <v>7.0308274743104388E-2</v>
      </c>
      <c r="O537" s="43">
        <f t="shared" si="471"/>
        <v>25.896414342629484</v>
      </c>
      <c r="P537" s="49">
        <f t="shared" si="472"/>
        <v>5.5248618784530384E-2</v>
      </c>
      <c r="Q537" s="47">
        <f t="shared" si="473"/>
        <v>100.398406374502</v>
      </c>
      <c r="R537" s="66">
        <f t="shared" si="474"/>
        <v>221.22619047619048</v>
      </c>
      <c r="S537" s="92">
        <f t="shared" si="475"/>
        <v>2.2908366533864544</v>
      </c>
      <c r="T537" s="93">
        <f t="shared" si="476"/>
        <v>9.9601593625498017E-2</v>
      </c>
      <c r="V537" s="98" t="str">
        <f t="shared" si="477"/>
        <v>BC</v>
      </c>
      <c r="W537" s="100">
        <f t="shared" si="478"/>
        <v>6.0987206388122726</v>
      </c>
      <c r="X537" s="103">
        <f t="shared" si="479"/>
        <v>8.7135451114538319E-3</v>
      </c>
    </row>
    <row r="538" spans="2:24" x14ac:dyDescent="0.3">
      <c r="B538" s="5" t="s">
        <v>3</v>
      </c>
      <c r="C538" s="1">
        <v>6300</v>
      </c>
      <c r="D538" s="14">
        <v>4.34</v>
      </c>
      <c r="E538" s="1">
        <v>4659</v>
      </c>
      <c r="F538" s="1">
        <v>117</v>
      </c>
      <c r="G538" s="1">
        <v>188157</v>
      </c>
      <c r="H538" s="1">
        <f t="shared" si="468"/>
        <v>1524</v>
      </c>
      <c r="I538" s="1"/>
      <c r="J538" s="1"/>
      <c r="K538" s="21">
        <f t="shared" si="466"/>
        <v>43354.147465437789</v>
      </c>
      <c r="L538" s="21">
        <f t="shared" si="467"/>
        <v>1451.6129032258066</v>
      </c>
      <c r="M538" s="31">
        <f t="shared" si="469"/>
        <v>-0.17038649972781708</v>
      </c>
      <c r="N538" s="31">
        <f t="shared" si="470"/>
        <v>2.4497487437185928E-2</v>
      </c>
      <c r="O538" s="43">
        <f t="shared" si="471"/>
        <v>26.958525345622121</v>
      </c>
      <c r="P538" s="49">
        <f t="shared" si="472"/>
        <v>1.8571428571428572E-2</v>
      </c>
      <c r="Q538" s="47">
        <f t="shared" si="473"/>
        <v>351.15207373271892</v>
      </c>
      <c r="R538" s="66">
        <f t="shared" si="474"/>
        <v>123.46259842519684</v>
      </c>
      <c r="S538" s="92">
        <f t="shared" si="475"/>
        <v>16.474654377880185</v>
      </c>
      <c r="T538" s="93">
        <f t="shared" si="476"/>
        <v>0.1152073732718894</v>
      </c>
      <c r="V538" s="98" t="str">
        <f t="shared" si="477"/>
        <v>AL</v>
      </c>
      <c r="W538" s="100">
        <f t="shared" si="478"/>
        <v>18.051366885113783</v>
      </c>
      <c r="X538" s="103">
        <f t="shared" si="479"/>
        <v>1.3824842857012007E-2</v>
      </c>
    </row>
    <row r="539" spans="2:24" x14ac:dyDescent="0.3">
      <c r="B539" s="5" t="s">
        <v>4</v>
      </c>
      <c r="C539" s="1">
        <v>289</v>
      </c>
      <c r="D539" s="14">
        <v>1.36</v>
      </c>
      <c r="E539" s="1">
        <v>247</v>
      </c>
      <c r="F539" s="1">
        <v>7</v>
      </c>
      <c r="G539" s="1">
        <v>31029</v>
      </c>
      <c r="H539" s="1">
        <f t="shared" si="468"/>
        <v>35</v>
      </c>
      <c r="I539" s="1"/>
      <c r="J539" s="1"/>
      <c r="K539" s="21">
        <f t="shared" si="466"/>
        <v>22815.441176470587</v>
      </c>
      <c r="L539" s="21">
        <f t="shared" si="467"/>
        <v>212.49999999999997</v>
      </c>
      <c r="M539" s="31">
        <f t="shared" si="469"/>
        <v>0.16666666666666666</v>
      </c>
      <c r="N539" s="31">
        <f t="shared" si="470"/>
        <v>2.7559055118110236E-2</v>
      </c>
      <c r="O539" s="43">
        <f t="shared" si="471"/>
        <v>5.1470588235294112</v>
      </c>
      <c r="P539" s="49">
        <f t="shared" si="472"/>
        <v>2.4221453287197232E-2</v>
      </c>
      <c r="Q539" s="47">
        <f t="shared" si="473"/>
        <v>25.735294117647058</v>
      </c>
      <c r="R539" s="66">
        <f t="shared" si="474"/>
        <v>886.54285714285709</v>
      </c>
      <c r="S539" s="92">
        <f t="shared" si="475"/>
        <v>1.838235294117647</v>
      </c>
      <c r="T539" s="93">
        <f t="shared" si="476"/>
        <v>0</v>
      </c>
      <c r="V539" s="98" t="str">
        <f t="shared" si="477"/>
        <v>MA</v>
      </c>
      <c r="W539" s="100">
        <f t="shared" si="478"/>
        <v>41.286678004535148</v>
      </c>
      <c r="X539" s="103">
        <f t="shared" si="479"/>
        <v>3.8456530255727363E-3</v>
      </c>
    </row>
    <row r="540" spans="2:24" x14ac:dyDescent="0.3">
      <c r="B540" s="5" t="s">
        <v>5</v>
      </c>
      <c r="C540" s="1">
        <v>568</v>
      </c>
      <c r="D540" s="14">
        <v>1.17</v>
      </c>
      <c r="E540" s="1">
        <v>363</v>
      </c>
      <c r="F540" s="1">
        <v>6</v>
      </c>
      <c r="G540" s="1">
        <v>37439</v>
      </c>
      <c r="H540" s="1">
        <f t="shared" si="468"/>
        <v>199</v>
      </c>
      <c r="I540" s="1"/>
      <c r="J540" s="1"/>
      <c r="K540" s="21">
        <f t="shared" si="466"/>
        <v>31999.145299145301</v>
      </c>
      <c r="L540" s="21">
        <f t="shared" si="467"/>
        <v>485.47008547008551</v>
      </c>
      <c r="M540" s="31">
        <f t="shared" si="469"/>
        <v>-3.864734299516908E-2</v>
      </c>
      <c r="N540" s="31">
        <f t="shared" si="470"/>
        <v>1.6260162601626018E-2</v>
      </c>
      <c r="O540" s="43">
        <f t="shared" si="471"/>
        <v>5.1282051282051286</v>
      </c>
      <c r="P540" s="49">
        <f t="shared" si="472"/>
        <v>1.0563380281690141E-2</v>
      </c>
      <c r="Q540" s="47">
        <f t="shared" si="473"/>
        <v>170.08547008547009</v>
      </c>
      <c r="R540" s="66">
        <f t="shared" si="474"/>
        <v>188.1356783919598</v>
      </c>
      <c r="S540" s="92">
        <f t="shared" si="475"/>
        <v>6.4102564102564106</v>
      </c>
      <c r="T540" s="93">
        <f t="shared" si="476"/>
        <v>0</v>
      </c>
      <c r="V540" s="98" t="str">
        <f t="shared" si="477"/>
        <v>SA</v>
      </c>
      <c r="W540" s="100">
        <f t="shared" si="478"/>
        <v>94.997056030389359</v>
      </c>
      <c r="X540" s="103">
        <f t="shared" si="479"/>
        <v>6.2641785720848227E-3</v>
      </c>
    </row>
    <row r="541" spans="2:24" x14ac:dyDescent="0.3">
      <c r="B541" s="5" t="s">
        <v>6</v>
      </c>
      <c r="C541" s="1">
        <v>1019</v>
      </c>
      <c r="D541" s="14">
        <v>0.96499999999999997</v>
      </c>
      <c r="E541" s="1">
        <v>767</v>
      </c>
      <c r="F541" s="1">
        <v>48</v>
      </c>
      <c r="G541" s="1">
        <f>33869+C541</f>
        <v>34888</v>
      </c>
      <c r="H541" s="1">
        <f t="shared" si="468"/>
        <v>204</v>
      </c>
      <c r="I541" s="1"/>
      <c r="J541" s="1"/>
      <c r="K541" s="21">
        <f t="shared" si="466"/>
        <v>36153.367875647673</v>
      </c>
      <c r="L541" s="21">
        <f t="shared" si="467"/>
        <v>1055.958549222798</v>
      </c>
      <c r="M541" s="31">
        <f t="shared" si="469"/>
        <v>-7.6923076923076927E-2</v>
      </c>
      <c r="N541" s="31">
        <f t="shared" si="470"/>
        <v>5.8895705521472393E-2</v>
      </c>
      <c r="O541" s="43">
        <f t="shared" si="471"/>
        <v>49.740932642487046</v>
      </c>
      <c r="P541" s="49">
        <f t="shared" si="472"/>
        <v>4.7105004906771344E-2</v>
      </c>
      <c r="Q541" s="47">
        <f t="shared" si="473"/>
        <v>211.39896373056996</v>
      </c>
      <c r="R541" s="66">
        <f t="shared" si="474"/>
        <v>171.01960784313727</v>
      </c>
      <c r="S541" s="92">
        <f t="shared" si="475"/>
        <v>4.1450777202072544</v>
      </c>
      <c r="T541" s="93">
        <f t="shared" si="476"/>
        <v>0.5181347150259068</v>
      </c>
      <c r="V541" s="98" t="str">
        <f t="shared" si="477"/>
        <v>NS</v>
      </c>
      <c r="W541" s="100">
        <f t="shared" si="478"/>
        <v>8.0004099088766552</v>
      </c>
      <c r="X541" s="103">
        <f t="shared" si="479"/>
        <v>1.2059745542371861E-2</v>
      </c>
    </row>
    <row r="542" spans="2:24" x14ac:dyDescent="0.3">
      <c r="B542" s="5" t="s">
        <v>7</v>
      </c>
      <c r="C542" s="1">
        <v>120</v>
      </c>
      <c r="D542" s="14">
        <v>0.77200000000000002</v>
      </c>
      <c r="E542" s="1">
        <v>118</v>
      </c>
      <c r="F542" s="1">
        <v>0</v>
      </c>
      <c r="G542" s="1">
        <v>18062</v>
      </c>
      <c r="H542" s="1">
        <f t="shared" si="468"/>
        <v>2</v>
      </c>
      <c r="I542" s="1"/>
      <c r="J542" s="1"/>
      <c r="K542" s="21">
        <f t="shared" si="466"/>
        <v>23396.373056994817</v>
      </c>
      <c r="L542" s="21">
        <f t="shared" si="467"/>
        <v>155.440414507772</v>
      </c>
      <c r="M542" s="31">
        <f t="shared" si="469"/>
        <v>0</v>
      </c>
      <c r="N542" s="31">
        <f t="shared" si="470"/>
        <v>0</v>
      </c>
      <c r="O542" s="43">
        <f t="shared" si="471"/>
        <v>0</v>
      </c>
      <c r="P542" s="49">
        <f t="shared" si="472"/>
        <v>0</v>
      </c>
      <c r="Q542" s="47">
        <f t="shared" si="473"/>
        <v>2.5906735751295336</v>
      </c>
      <c r="R542" s="66">
        <f>IFERROR(G542/H542,20000)</f>
        <v>9031</v>
      </c>
      <c r="S542" s="92">
        <f t="shared" si="475"/>
        <v>0</v>
      </c>
      <c r="T542" s="93">
        <f t="shared" si="476"/>
        <v>0</v>
      </c>
      <c r="V542" s="98" t="str">
        <f t="shared" si="477"/>
        <v>NB</v>
      </c>
      <c r="W542" s="100">
        <f t="shared" si="478"/>
        <v>400.86355785837651</v>
      </c>
      <c r="X542" s="103">
        <f t="shared" si="479"/>
        <v>2.7431871779709134E-3</v>
      </c>
    </row>
    <row r="543" spans="2:24" x14ac:dyDescent="0.3">
      <c r="B543" s="5" t="s">
        <v>18</v>
      </c>
      <c r="C543" s="9">
        <v>27</v>
      </c>
      <c r="D543" s="15">
        <v>0.154</v>
      </c>
      <c r="E543" s="9">
        <v>27</v>
      </c>
      <c r="F543" s="9">
        <v>0</v>
      </c>
      <c r="G543" s="9">
        <v>4058</v>
      </c>
      <c r="H543" s="1">
        <f t="shared" si="468"/>
        <v>0</v>
      </c>
      <c r="I543" s="9"/>
      <c r="J543" s="9"/>
      <c r="K543" s="22">
        <f t="shared" si="466"/>
        <v>26350.64935064935</v>
      </c>
      <c r="L543" s="22">
        <f t="shared" si="467"/>
        <v>175.32467532467533</v>
      </c>
      <c r="M543" s="31">
        <v>0</v>
      </c>
      <c r="N543" s="31">
        <f t="shared" si="470"/>
        <v>0</v>
      </c>
      <c r="O543" s="44">
        <f t="shared" si="471"/>
        <v>0</v>
      </c>
      <c r="P543" s="49">
        <f t="shared" si="472"/>
        <v>0</v>
      </c>
      <c r="Q543" s="47">
        <f t="shared" si="473"/>
        <v>0</v>
      </c>
      <c r="R543" s="66">
        <f>IFERROR(G543/H543,20000)</f>
        <v>20000</v>
      </c>
      <c r="S543" s="92">
        <f t="shared" si="475"/>
        <v>0</v>
      </c>
      <c r="T543" s="93">
        <f t="shared" si="476"/>
        <v>0</v>
      </c>
      <c r="V543" s="98" t="str">
        <f t="shared" si="477"/>
        <v>PEI</v>
      </c>
      <c r="W543" s="100">
        <f t="shared" si="478"/>
        <v>400.97402597402595</v>
      </c>
      <c r="X543" s="103">
        <f t="shared" si="479"/>
        <v>2.7472093474408313E-3</v>
      </c>
    </row>
    <row r="544" spans="2:24" ht="15" thickBot="1" x14ac:dyDescent="0.35">
      <c r="B544" s="5" t="s">
        <v>11</v>
      </c>
      <c r="C544" s="9">
        <v>261</v>
      </c>
      <c r="D544" s="15">
        <v>0.52400000000000002</v>
      </c>
      <c r="E544" s="9">
        <v>244</v>
      </c>
      <c r="F544" s="9">
        <v>3</v>
      </c>
      <c r="G544" s="9">
        <v>9900</v>
      </c>
      <c r="H544" s="9">
        <f t="shared" si="468"/>
        <v>14</v>
      </c>
      <c r="I544" s="9"/>
      <c r="J544" s="9"/>
      <c r="K544" s="22">
        <f t="shared" si="466"/>
        <v>18893.129770992367</v>
      </c>
      <c r="L544" s="22">
        <f t="shared" si="467"/>
        <v>498.09160305343511</v>
      </c>
      <c r="M544" s="31">
        <f t="shared" si="469"/>
        <v>0</v>
      </c>
      <c r="N544" s="32">
        <f t="shared" si="470"/>
        <v>1.2145748987854251E-2</v>
      </c>
      <c r="O544" s="44">
        <f t="shared" si="471"/>
        <v>5.7251908396946565</v>
      </c>
      <c r="P544" s="50">
        <f t="shared" si="472"/>
        <v>1.1494252873563218E-2</v>
      </c>
      <c r="Q544" s="48">
        <f t="shared" si="473"/>
        <v>26.717557251908396</v>
      </c>
      <c r="R544" s="67">
        <f>G544/H544</f>
        <v>707.14285714285711</v>
      </c>
      <c r="S544" s="92">
        <f t="shared" si="475"/>
        <v>0</v>
      </c>
      <c r="T544" s="93">
        <f t="shared" si="476"/>
        <v>0</v>
      </c>
      <c r="V544" s="99" t="str">
        <f t="shared" si="477"/>
        <v>NFLD</v>
      </c>
      <c r="W544" s="107">
        <f t="shared" si="478"/>
        <v>78.747175572519083</v>
      </c>
      <c r="X544" s="103">
        <f t="shared" si="479"/>
        <v>1.0885423920051577E-2</v>
      </c>
    </row>
    <row r="545" spans="2:24" ht="15" thickBot="1" x14ac:dyDescent="0.35">
      <c r="B545" s="11" t="s">
        <v>10</v>
      </c>
      <c r="C545" s="12">
        <v>69981</v>
      </c>
      <c r="D545" s="16">
        <v>37.6</v>
      </c>
      <c r="E545" s="12">
        <v>32994</v>
      </c>
      <c r="F545" s="12">
        <v>4993</v>
      </c>
      <c r="G545" s="12">
        <f>SUM(G535:G544)</f>
        <v>1164365</v>
      </c>
      <c r="H545" s="81">
        <f t="shared" si="468"/>
        <v>31994</v>
      </c>
      <c r="I545" s="111"/>
      <c r="J545" s="111"/>
      <c r="K545" s="77">
        <f t="shared" si="466"/>
        <v>30967.154255319147</v>
      </c>
      <c r="L545" s="23">
        <f t="shared" si="467"/>
        <v>1861.1968085106382</v>
      </c>
      <c r="M545" s="31">
        <f t="shared" si="469"/>
        <v>7.367758186397985E-3</v>
      </c>
      <c r="N545" s="33">
        <f t="shared" si="470"/>
        <v>0.13143970305630873</v>
      </c>
      <c r="O545" s="45">
        <f>F545/D545</f>
        <v>132.79255319148936</v>
      </c>
      <c r="P545" s="53">
        <f t="shared" si="472"/>
        <v>7.1347937297266406E-2</v>
      </c>
      <c r="Q545" s="55">
        <f t="shared" si="473"/>
        <v>850.90425531914889</v>
      </c>
      <c r="R545" s="74">
        <f>G545/H545</f>
        <v>36.393229980621363</v>
      </c>
      <c r="S545" s="92">
        <f t="shared" si="475"/>
        <v>30.305851063829785</v>
      </c>
      <c r="T545" s="93">
        <f t="shared" si="476"/>
        <v>3.9893617021276593</v>
      </c>
      <c r="V545" s="108" t="str">
        <f t="shared" si="477"/>
        <v>Canada</v>
      </c>
      <c r="W545" s="109">
        <f t="shared" si="478"/>
        <v>10.867716009617734</v>
      </c>
      <c r="X545" s="103">
        <f t="shared" si="479"/>
        <v>2.481595744680851E-2</v>
      </c>
    </row>
    <row r="546" spans="2:24" ht="15" thickBot="1" x14ac:dyDescent="0.35">
      <c r="B546" s="6" t="s">
        <v>9</v>
      </c>
      <c r="C546" s="7">
        <v>1380388</v>
      </c>
      <c r="D546" s="7">
        <v>327</v>
      </c>
      <c r="E546" s="7">
        <v>259073</v>
      </c>
      <c r="F546" s="7">
        <v>81455</v>
      </c>
      <c r="G546" s="7">
        <v>9668260</v>
      </c>
      <c r="H546" s="82">
        <f t="shared" si="468"/>
        <v>1039860</v>
      </c>
      <c r="I546" s="112"/>
      <c r="J546" s="112"/>
      <c r="K546" s="78">
        <f t="shared" si="466"/>
        <v>29566.544342507645</v>
      </c>
      <c r="L546" s="24">
        <f t="shared" si="467"/>
        <v>4221.3700305810398</v>
      </c>
      <c r="M546" s="31">
        <f t="shared" si="469"/>
        <v>9.9777872098229681E-3</v>
      </c>
      <c r="N546" s="33">
        <f t="shared" si="470"/>
        <v>0.23920206267913358</v>
      </c>
      <c r="O546" s="46">
        <f>F546/D546</f>
        <v>249.09785932721712</v>
      </c>
      <c r="P546" s="52">
        <f t="shared" si="472"/>
        <v>5.9008771446868565E-2</v>
      </c>
      <c r="Q546" s="54">
        <f t="shared" si="473"/>
        <v>3180</v>
      </c>
      <c r="R546" s="72">
        <f>G546/H546</f>
        <v>9.2976554536187557</v>
      </c>
      <c r="S546" s="92">
        <f t="shared" si="475"/>
        <v>59.01223241590214</v>
      </c>
      <c r="T546" s="93">
        <f t="shared" si="476"/>
        <v>2.4587155963302751</v>
      </c>
      <c r="V546" s="108" t="str">
        <f t="shared" si="477"/>
        <v>USA</v>
      </c>
      <c r="W546" s="109">
        <f t="shared" si="478"/>
        <v>23.792215876887834</v>
      </c>
      <c r="X546" s="103">
        <f t="shared" si="479"/>
        <v>5.895123235300042E-2</v>
      </c>
    </row>
    <row r="547" spans="2:24" ht="15" thickBot="1" x14ac:dyDescent="0.35"/>
    <row r="548" spans="2:24" ht="29.4" thickBot="1" x14ac:dyDescent="0.35">
      <c r="B548" s="96">
        <v>41030</v>
      </c>
      <c r="C548" s="18" t="s">
        <v>8</v>
      </c>
      <c r="D548" s="19" t="s">
        <v>17</v>
      </c>
      <c r="E548" s="19" t="s">
        <v>15</v>
      </c>
      <c r="F548" s="19" t="s">
        <v>16</v>
      </c>
      <c r="G548" s="19" t="s">
        <v>14</v>
      </c>
      <c r="H548" s="19" t="s">
        <v>38</v>
      </c>
      <c r="I548" s="19"/>
      <c r="J548" s="19"/>
      <c r="K548" s="19" t="s">
        <v>21</v>
      </c>
      <c r="L548" s="19" t="s">
        <v>20</v>
      </c>
      <c r="M548" s="19" t="s">
        <v>40</v>
      </c>
      <c r="N548" s="19" t="s">
        <v>32</v>
      </c>
      <c r="O548" s="19" t="s">
        <v>22</v>
      </c>
      <c r="P548" s="51" t="s">
        <v>34</v>
      </c>
      <c r="Q548" s="20" t="s">
        <v>35</v>
      </c>
      <c r="R548" s="63" t="s">
        <v>39</v>
      </c>
      <c r="S548" s="91" t="s">
        <v>43</v>
      </c>
      <c r="T548" s="91" t="s">
        <v>44</v>
      </c>
      <c r="V548" s="104" t="s">
        <v>48</v>
      </c>
      <c r="W548" s="105" t="s">
        <v>49</v>
      </c>
      <c r="X548" s="106" t="s">
        <v>50</v>
      </c>
    </row>
    <row r="549" spans="2:24" x14ac:dyDescent="0.3">
      <c r="B549" s="3" t="s">
        <v>0</v>
      </c>
      <c r="C549" s="1">
        <v>20907</v>
      </c>
      <c r="D549" s="14">
        <v>14.45</v>
      </c>
      <c r="E549" s="1">
        <v>15391</v>
      </c>
      <c r="F549" s="1">
        <v>1725</v>
      </c>
      <c r="G549" s="1">
        <v>459921</v>
      </c>
      <c r="H549" s="1">
        <f>C549-E549-F549</f>
        <v>3791</v>
      </c>
      <c r="I549" s="1"/>
      <c r="J549" s="1"/>
      <c r="K549" s="21">
        <f t="shared" ref="K549:K560" si="480">G549/D549</f>
        <v>31828.442906574397</v>
      </c>
      <c r="L549" s="21">
        <f t="shared" ref="L549:L560" si="481">C549/D549</f>
        <v>1446.8512110726645</v>
      </c>
      <c r="M549" s="31">
        <f>(H549-H535)/H535</f>
        <v>1.201281366791244E-2</v>
      </c>
      <c r="N549" s="31">
        <f>F549/(E549+F549)</f>
        <v>0.10078289319934564</v>
      </c>
      <c r="O549" s="43">
        <f>F549/D549</f>
        <v>119.37716262975779</v>
      </c>
      <c r="P549" s="49">
        <f>F549/C549</f>
        <v>8.2508250825082508E-2</v>
      </c>
      <c r="Q549" s="47">
        <f>(C549-E549-F549)/D549</f>
        <v>262.35294117647061</v>
      </c>
      <c r="R549" s="66">
        <f>G549/H549</f>
        <v>121.31917699815352</v>
      </c>
      <c r="S549" s="92">
        <f t="shared" ref="S549:S560" si="482">(C549-C535)/D549</f>
        <v>24.982698961937718</v>
      </c>
      <c r="T549" s="93">
        <f>(F549-F535)/D549</f>
        <v>3.8754325259515574</v>
      </c>
      <c r="V549" s="101" t="str">
        <f>B549</f>
        <v>ON</v>
      </c>
      <c r="W549" s="102">
        <f>C549/D549/180+IFERROR((D549*C549*5)/(F549*F549),400)</f>
        <v>8.5456970663457206</v>
      </c>
      <c r="X549" s="103">
        <f>L549/75000/K549*K$559</f>
        <v>1.9061054858773848E-2</v>
      </c>
    </row>
    <row r="550" spans="2:24" x14ac:dyDescent="0.3">
      <c r="B550" s="5" t="s">
        <v>1</v>
      </c>
      <c r="C550" s="1">
        <v>39225</v>
      </c>
      <c r="D550" s="14">
        <v>8.43</v>
      </c>
      <c r="E550" s="1">
        <v>10056</v>
      </c>
      <c r="F550" s="1">
        <v>3131</v>
      </c>
      <c r="G550" s="1">
        <v>281370</v>
      </c>
      <c r="H550" s="1">
        <f t="shared" ref="H550:H560" si="483">C550-E550-F550</f>
        <v>26038</v>
      </c>
      <c r="I550" s="1"/>
      <c r="J550" s="1"/>
      <c r="K550" s="21">
        <f t="shared" si="480"/>
        <v>33377.224199288255</v>
      </c>
      <c r="L550" s="21">
        <f t="shared" si="481"/>
        <v>4653.0249110320283</v>
      </c>
      <c r="M550" s="31">
        <f t="shared" ref="M550:M560" si="484">(H550-H536)/H536</f>
        <v>1.1066671844057003E-2</v>
      </c>
      <c r="N550" s="31">
        <f t="shared" ref="N550:N560" si="485">F550/(E550+F550)</f>
        <v>0.23743080306362327</v>
      </c>
      <c r="O550" s="43">
        <f t="shared" ref="O550:O558" si="486">F550/D550</f>
        <v>371.41162514827994</v>
      </c>
      <c r="P550" s="49">
        <f t="shared" ref="P550:P560" si="487">F550/C550</f>
        <v>7.9821542383683872E-2</v>
      </c>
      <c r="Q550" s="47">
        <f t="shared" ref="Q550:Q560" si="488">(C550-E550-F550)/D550</f>
        <v>3088.7307236061683</v>
      </c>
      <c r="R550" s="66">
        <f t="shared" ref="R550:R555" si="489">G550/H550</f>
        <v>10.806129503034027</v>
      </c>
      <c r="S550" s="92">
        <f t="shared" si="482"/>
        <v>89.679715302491104</v>
      </c>
      <c r="T550" s="93">
        <f t="shared" ref="T550:T560" si="490">(F550-F536)/D550</f>
        <v>13.997627520759194</v>
      </c>
      <c r="V550" s="98" t="str">
        <f t="shared" ref="V550:V560" si="491">B550</f>
        <v>QC</v>
      </c>
      <c r="W550" s="100">
        <f t="shared" ref="W550:W560" si="492">C550/D550/180+IFERROR((D550*C550*5)/(F550*F550),400)</f>
        <v>26.018791520894609</v>
      </c>
      <c r="X550" s="103">
        <f t="shared" ref="X550:X560" si="493">L550/75000/K550*K$559</f>
        <v>5.8455262303213983E-2</v>
      </c>
    </row>
    <row r="551" spans="2:24" x14ac:dyDescent="0.3">
      <c r="B551" s="5" t="s">
        <v>2</v>
      </c>
      <c r="C551" s="1">
        <v>2360</v>
      </c>
      <c r="D551" s="14">
        <v>5.0199999999999996</v>
      </c>
      <c r="E551" s="1">
        <v>1832</v>
      </c>
      <c r="F551" s="1">
        <v>131</v>
      </c>
      <c r="G551" s="1">
        <v>112994</v>
      </c>
      <c r="H551" s="1">
        <f t="shared" si="483"/>
        <v>397</v>
      </c>
      <c r="I551" s="1"/>
      <c r="J551" s="1"/>
      <c r="K551" s="21">
        <f t="shared" si="480"/>
        <v>22508.764940239045</v>
      </c>
      <c r="L551" s="21">
        <f t="shared" si="481"/>
        <v>470.11952191235065</v>
      </c>
      <c r="M551" s="31">
        <f t="shared" si="484"/>
        <v>-0.2123015873015873</v>
      </c>
      <c r="N551" s="31">
        <f t="shared" si="485"/>
        <v>6.6734589913397854E-2</v>
      </c>
      <c r="O551" s="43">
        <f t="shared" si="486"/>
        <v>26.095617529880482</v>
      </c>
      <c r="P551" s="49">
        <f t="shared" si="487"/>
        <v>5.5508474576271186E-2</v>
      </c>
      <c r="Q551" s="47">
        <f t="shared" si="488"/>
        <v>79.083665338645432</v>
      </c>
      <c r="R551" s="66">
        <f t="shared" si="489"/>
        <v>284.61964735516375</v>
      </c>
      <c r="S551" s="92">
        <f t="shared" si="482"/>
        <v>1.3944223107569722</v>
      </c>
      <c r="T551" s="93">
        <f t="shared" si="490"/>
        <v>0.19920318725099603</v>
      </c>
      <c r="V551" s="98" t="str">
        <f t="shared" si="491"/>
        <v>BC</v>
      </c>
      <c r="W551" s="100">
        <f t="shared" si="492"/>
        <v>6.0635553210243671</v>
      </c>
      <c r="X551" s="103">
        <f t="shared" si="493"/>
        <v>8.7578009853532691E-3</v>
      </c>
    </row>
    <row r="552" spans="2:24" x14ac:dyDescent="0.3">
      <c r="B552" s="5" t="s">
        <v>3</v>
      </c>
      <c r="C552" s="1">
        <v>6345</v>
      </c>
      <c r="D552" s="14">
        <v>4.34</v>
      </c>
      <c r="E552" s="1">
        <v>4866</v>
      </c>
      <c r="F552" s="1">
        <v>118</v>
      </c>
      <c r="G552" s="1">
        <v>191330</v>
      </c>
      <c r="H552" s="1">
        <f t="shared" si="483"/>
        <v>1361</v>
      </c>
      <c r="I552" s="1"/>
      <c r="J552" s="1"/>
      <c r="K552" s="21">
        <f t="shared" si="480"/>
        <v>44085.253456221202</v>
      </c>
      <c r="L552" s="21">
        <f t="shared" si="481"/>
        <v>1461.9815668202766</v>
      </c>
      <c r="M552" s="31">
        <f t="shared" si="484"/>
        <v>-0.10695538057742782</v>
      </c>
      <c r="N552" s="31">
        <f t="shared" si="485"/>
        <v>2.3675762439807384E-2</v>
      </c>
      <c r="O552" s="43">
        <f t="shared" si="486"/>
        <v>27.1889400921659</v>
      </c>
      <c r="P552" s="49">
        <f t="shared" si="487"/>
        <v>1.8597320724980299E-2</v>
      </c>
      <c r="Q552" s="47">
        <f t="shared" si="488"/>
        <v>313.59447004608296</v>
      </c>
      <c r="R552" s="66">
        <f t="shared" si="489"/>
        <v>140.58045554739164</v>
      </c>
      <c r="S552" s="92">
        <f t="shared" si="482"/>
        <v>10.368663594470046</v>
      </c>
      <c r="T552" s="93">
        <f t="shared" si="490"/>
        <v>0.2304147465437788</v>
      </c>
      <c r="V552" s="98" t="str">
        <f t="shared" si="491"/>
        <v>AL</v>
      </c>
      <c r="W552" s="100">
        <f t="shared" si="492"/>
        <v>18.010549864504746</v>
      </c>
      <c r="X552" s="103">
        <f t="shared" si="493"/>
        <v>1.3905512726702556E-2</v>
      </c>
    </row>
    <row r="553" spans="2:24" x14ac:dyDescent="0.3">
      <c r="B553" s="5" t="s">
        <v>4</v>
      </c>
      <c r="C553" s="1">
        <v>290</v>
      </c>
      <c r="D553" s="14">
        <v>1.36</v>
      </c>
      <c r="E553" s="1">
        <v>251</v>
      </c>
      <c r="F553" s="1">
        <v>7</v>
      </c>
      <c r="G553" s="1">
        <v>31440</v>
      </c>
      <c r="H553" s="1">
        <f t="shared" si="483"/>
        <v>32</v>
      </c>
      <c r="I553" s="1"/>
      <c r="J553" s="1"/>
      <c r="K553" s="21">
        <f t="shared" si="480"/>
        <v>23117.647058823528</v>
      </c>
      <c r="L553" s="21">
        <f t="shared" si="481"/>
        <v>213.23529411764704</v>
      </c>
      <c r="M553" s="31">
        <f t="shared" si="484"/>
        <v>-8.5714285714285715E-2</v>
      </c>
      <c r="N553" s="31">
        <f t="shared" si="485"/>
        <v>2.7131782945736434E-2</v>
      </c>
      <c r="O553" s="43">
        <f t="shared" si="486"/>
        <v>5.1470588235294112</v>
      </c>
      <c r="P553" s="49">
        <f t="shared" si="487"/>
        <v>2.4137931034482758E-2</v>
      </c>
      <c r="Q553" s="47">
        <f t="shared" si="488"/>
        <v>23.52941176470588</v>
      </c>
      <c r="R553" s="66">
        <f t="shared" si="489"/>
        <v>982.5</v>
      </c>
      <c r="S553" s="92">
        <f t="shared" si="482"/>
        <v>0.73529411764705876</v>
      </c>
      <c r="T553" s="93">
        <f t="shared" si="490"/>
        <v>0</v>
      </c>
      <c r="V553" s="98" t="str">
        <f t="shared" si="491"/>
        <v>MA</v>
      </c>
      <c r="W553" s="100">
        <f t="shared" si="492"/>
        <v>41.429538482059492</v>
      </c>
      <c r="X553" s="103">
        <f t="shared" si="493"/>
        <v>3.8677100815693068E-3</v>
      </c>
    </row>
    <row r="554" spans="2:24" x14ac:dyDescent="0.3">
      <c r="B554" s="5" t="s">
        <v>5</v>
      </c>
      <c r="C554" s="1">
        <v>573</v>
      </c>
      <c r="D554" s="14">
        <v>1.17</v>
      </c>
      <c r="E554" s="1">
        <v>374</v>
      </c>
      <c r="F554" s="1">
        <v>6</v>
      </c>
      <c r="G554" s="1">
        <v>37695</v>
      </c>
      <c r="H554" s="1">
        <f t="shared" si="483"/>
        <v>193</v>
      </c>
      <c r="I554" s="1"/>
      <c r="J554" s="1"/>
      <c r="K554" s="21">
        <f t="shared" si="480"/>
        <v>32217.948717948719</v>
      </c>
      <c r="L554" s="21">
        <f t="shared" si="481"/>
        <v>489.74358974358978</v>
      </c>
      <c r="M554" s="31">
        <f t="shared" si="484"/>
        <v>-3.015075376884422E-2</v>
      </c>
      <c r="N554" s="31">
        <f t="shared" si="485"/>
        <v>1.5789473684210527E-2</v>
      </c>
      <c r="O554" s="43">
        <f t="shared" si="486"/>
        <v>5.1282051282051286</v>
      </c>
      <c r="P554" s="49">
        <f t="shared" si="487"/>
        <v>1.0471204188481676E-2</v>
      </c>
      <c r="Q554" s="47">
        <f t="shared" si="488"/>
        <v>164.95726495726495</v>
      </c>
      <c r="R554" s="66">
        <f t="shared" si="489"/>
        <v>195.31088082901553</v>
      </c>
      <c r="S554" s="92">
        <f t="shared" si="482"/>
        <v>4.2735042735042734</v>
      </c>
      <c r="T554" s="93">
        <f t="shared" si="490"/>
        <v>0</v>
      </c>
      <c r="V554" s="98" t="str">
        <f t="shared" si="491"/>
        <v>SA</v>
      </c>
      <c r="W554" s="100">
        <f t="shared" si="492"/>
        <v>95.833297720797717</v>
      </c>
      <c r="X554" s="103">
        <f t="shared" si="493"/>
        <v>6.3739598908371499E-3</v>
      </c>
    </row>
    <row r="555" spans="2:24" x14ac:dyDescent="0.3">
      <c r="B555" s="5" t="s">
        <v>6</v>
      </c>
      <c r="C555" s="1">
        <v>1020</v>
      </c>
      <c r="D555" s="14">
        <v>0.96499999999999997</v>
      </c>
      <c r="E555" s="1">
        <v>864</v>
      </c>
      <c r="F555" s="1">
        <v>48</v>
      </c>
      <c r="G555" s="1">
        <f>34204+C555</f>
        <v>35224</v>
      </c>
      <c r="H555" s="1">
        <f t="shared" si="483"/>
        <v>108</v>
      </c>
      <c r="I555" s="1"/>
      <c r="J555" s="1"/>
      <c r="K555" s="21">
        <f t="shared" si="480"/>
        <v>36501.554404145078</v>
      </c>
      <c r="L555" s="21">
        <f t="shared" si="481"/>
        <v>1056.9948186528497</v>
      </c>
      <c r="M555" s="31">
        <f t="shared" si="484"/>
        <v>-0.47058823529411764</v>
      </c>
      <c r="N555" s="31">
        <f t="shared" si="485"/>
        <v>5.2631578947368418E-2</v>
      </c>
      <c r="O555" s="43">
        <f t="shared" si="486"/>
        <v>49.740932642487046</v>
      </c>
      <c r="P555" s="49">
        <f t="shared" si="487"/>
        <v>4.7058823529411764E-2</v>
      </c>
      <c r="Q555" s="47">
        <f t="shared" si="488"/>
        <v>111.91709844559585</v>
      </c>
      <c r="R555" s="66">
        <f t="shared" si="489"/>
        <v>326.14814814814815</v>
      </c>
      <c r="S555" s="92">
        <f t="shared" si="482"/>
        <v>1.0362694300518136</v>
      </c>
      <c r="T555" s="93">
        <f t="shared" si="490"/>
        <v>0</v>
      </c>
      <c r="V555" s="98" t="str">
        <f t="shared" si="491"/>
        <v>NS</v>
      </c>
      <c r="W555" s="100">
        <f t="shared" si="492"/>
        <v>8.0082611452936092</v>
      </c>
      <c r="X555" s="103">
        <f t="shared" si="493"/>
        <v>1.2142271831101619E-2</v>
      </c>
    </row>
    <row r="556" spans="2:24" x14ac:dyDescent="0.3">
      <c r="B556" s="5" t="s">
        <v>7</v>
      </c>
      <c r="C556" s="1">
        <v>120</v>
      </c>
      <c r="D556" s="14">
        <v>0.77200000000000002</v>
      </c>
      <c r="E556" s="1">
        <v>118</v>
      </c>
      <c r="F556" s="1">
        <v>0</v>
      </c>
      <c r="G556" s="1">
        <v>18379</v>
      </c>
      <c r="H556" s="1">
        <f t="shared" si="483"/>
        <v>2</v>
      </c>
      <c r="I556" s="1"/>
      <c r="J556" s="1"/>
      <c r="K556" s="21">
        <f t="shared" si="480"/>
        <v>23806.994818652849</v>
      </c>
      <c r="L556" s="21">
        <f t="shared" si="481"/>
        <v>155.440414507772</v>
      </c>
      <c r="M556" s="31">
        <f t="shared" si="484"/>
        <v>0</v>
      </c>
      <c r="N556" s="31">
        <f t="shared" si="485"/>
        <v>0</v>
      </c>
      <c r="O556" s="43">
        <f t="shared" si="486"/>
        <v>0</v>
      </c>
      <c r="P556" s="49">
        <f t="shared" si="487"/>
        <v>0</v>
      </c>
      <c r="Q556" s="47">
        <f t="shared" si="488"/>
        <v>2.5906735751295336</v>
      </c>
      <c r="R556" s="66">
        <f>IFERROR(G556/H556,20000)</f>
        <v>9189.5</v>
      </c>
      <c r="S556" s="92">
        <f t="shared" si="482"/>
        <v>0</v>
      </c>
      <c r="T556" s="93">
        <f t="shared" si="490"/>
        <v>0</v>
      </c>
      <c r="V556" s="98" t="str">
        <f t="shared" si="491"/>
        <v>NB</v>
      </c>
      <c r="W556" s="100">
        <f t="shared" si="492"/>
        <v>400.86355785837651</v>
      </c>
      <c r="X556" s="103">
        <f t="shared" si="493"/>
        <v>2.7377754213006749E-3</v>
      </c>
    </row>
    <row r="557" spans="2:24" x14ac:dyDescent="0.3">
      <c r="B557" s="5" t="s">
        <v>18</v>
      </c>
      <c r="C557" s="9">
        <v>27</v>
      </c>
      <c r="D557" s="15">
        <v>0.154</v>
      </c>
      <c r="E557" s="9">
        <v>27</v>
      </c>
      <c r="F557" s="9">
        <v>0</v>
      </c>
      <c r="G557" s="9">
        <v>4058</v>
      </c>
      <c r="H557" s="1">
        <f t="shared" si="483"/>
        <v>0</v>
      </c>
      <c r="I557" s="9"/>
      <c r="J557" s="9"/>
      <c r="K557" s="22">
        <f t="shared" si="480"/>
        <v>26350.64935064935</v>
      </c>
      <c r="L557" s="22">
        <f t="shared" si="481"/>
        <v>175.32467532467533</v>
      </c>
      <c r="M557" s="31">
        <v>0</v>
      </c>
      <c r="N557" s="31">
        <f t="shared" si="485"/>
        <v>0</v>
      </c>
      <c r="O557" s="44">
        <f t="shared" si="486"/>
        <v>0</v>
      </c>
      <c r="P557" s="49">
        <f t="shared" si="487"/>
        <v>0</v>
      </c>
      <c r="Q557" s="47">
        <f t="shared" si="488"/>
        <v>0</v>
      </c>
      <c r="R557" s="66">
        <f>IFERROR(G557/H557,20000)</f>
        <v>20000</v>
      </c>
      <c r="S557" s="92">
        <f t="shared" si="482"/>
        <v>0</v>
      </c>
      <c r="T557" s="93">
        <f t="shared" si="490"/>
        <v>0</v>
      </c>
      <c r="V557" s="98" t="str">
        <f t="shared" si="491"/>
        <v>PEI</v>
      </c>
      <c r="W557" s="100">
        <f t="shared" si="492"/>
        <v>400.97402597402595</v>
      </c>
      <c r="X557" s="103">
        <f t="shared" si="493"/>
        <v>2.7899098707045711E-3</v>
      </c>
    </row>
    <row r="558" spans="2:24" ht="15" thickBot="1" x14ac:dyDescent="0.35">
      <c r="B558" s="5" t="s">
        <v>11</v>
      </c>
      <c r="C558" s="9">
        <v>261</v>
      </c>
      <c r="D558" s="15">
        <v>0.52400000000000002</v>
      </c>
      <c r="E558" s="9">
        <v>244</v>
      </c>
      <c r="F558" s="9">
        <v>3</v>
      </c>
      <c r="G558" s="9">
        <v>10052</v>
      </c>
      <c r="H558" s="9">
        <f t="shared" si="483"/>
        <v>14</v>
      </c>
      <c r="I558" s="9"/>
      <c r="J558" s="9"/>
      <c r="K558" s="22">
        <f t="shared" si="480"/>
        <v>19183.206106870228</v>
      </c>
      <c r="L558" s="22">
        <f t="shared" si="481"/>
        <v>498.09160305343511</v>
      </c>
      <c r="M558" s="31">
        <f t="shared" si="484"/>
        <v>0</v>
      </c>
      <c r="N558" s="32">
        <f t="shared" si="485"/>
        <v>1.2145748987854251E-2</v>
      </c>
      <c r="O558" s="44">
        <f t="shared" si="486"/>
        <v>5.7251908396946565</v>
      </c>
      <c r="P558" s="50">
        <f t="shared" si="487"/>
        <v>1.1494252873563218E-2</v>
      </c>
      <c r="Q558" s="48">
        <f t="shared" si="488"/>
        <v>26.717557251908396</v>
      </c>
      <c r="R558" s="67">
        <f>G558/H558</f>
        <v>718</v>
      </c>
      <c r="S558" s="92">
        <f t="shared" si="482"/>
        <v>0</v>
      </c>
      <c r="T558" s="93">
        <f t="shared" si="490"/>
        <v>0</v>
      </c>
      <c r="V558" s="99" t="str">
        <f t="shared" si="491"/>
        <v>NFLD</v>
      </c>
      <c r="W558" s="107">
        <f t="shared" si="492"/>
        <v>78.747175572519083</v>
      </c>
      <c r="X558" s="103">
        <f t="shared" si="493"/>
        <v>1.0887457666940421E-2</v>
      </c>
    </row>
    <row r="559" spans="2:24" ht="15" thickBot="1" x14ac:dyDescent="0.35">
      <c r="B559" s="11" t="s">
        <v>10</v>
      </c>
      <c r="C559" s="12">
        <v>71157</v>
      </c>
      <c r="D559" s="16">
        <v>37.6</v>
      </c>
      <c r="E559" s="12">
        <v>34042</v>
      </c>
      <c r="F559" s="12">
        <v>5169</v>
      </c>
      <c r="G559" s="12">
        <f>SUM(G549:G558)</f>
        <v>1182463</v>
      </c>
      <c r="H559" s="81">
        <f t="shared" si="483"/>
        <v>31946</v>
      </c>
      <c r="I559" s="111"/>
      <c r="J559" s="111"/>
      <c r="K559" s="77">
        <f t="shared" si="480"/>
        <v>31448.484042553191</v>
      </c>
      <c r="L559" s="23">
        <f t="shared" si="481"/>
        <v>1892.4734042553191</v>
      </c>
      <c r="M559" s="31">
        <f t="shared" si="484"/>
        <v>-1.5002813027442646E-3</v>
      </c>
      <c r="N559" s="33">
        <f t="shared" si="485"/>
        <v>0.13182525311774757</v>
      </c>
      <c r="O559" s="45">
        <f>F559/D559</f>
        <v>137.47340425531914</v>
      </c>
      <c r="P559" s="53">
        <f t="shared" si="487"/>
        <v>7.2642185589611705E-2</v>
      </c>
      <c r="Q559" s="55">
        <f t="shared" si="488"/>
        <v>849.627659574468</v>
      </c>
      <c r="R559" s="74">
        <f>G559/H559</f>
        <v>37.014430601640271</v>
      </c>
      <c r="S559" s="92">
        <f t="shared" si="482"/>
        <v>31.276595744680851</v>
      </c>
      <c r="T559" s="93">
        <f t="shared" si="490"/>
        <v>4.6808510638297873</v>
      </c>
      <c r="V559" s="108" t="str">
        <f t="shared" si="491"/>
        <v>Canada</v>
      </c>
      <c r="W559" s="109">
        <f t="shared" si="492"/>
        <v>11.014423637825198</v>
      </c>
      <c r="X559" s="103">
        <f t="shared" si="493"/>
        <v>2.5232978723404256E-2</v>
      </c>
    </row>
    <row r="560" spans="2:24" ht="15" thickBot="1" x14ac:dyDescent="0.35">
      <c r="B560" s="6" t="s">
        <v>9</v>
      </c>
      <c r="C560" s="7">
        <v>1402275</v>
      </c>
      <c r="D560" s="7">
        <v>327</v>
      </c>
      <c r="E560" s="7">
        <v>276175</v>
      </c>
      <c r="F560" s="7">
        <v>83121</v>
      </c>
      <c r="G560" s="7">
        <v>9850818</v>
      </c>
      <c r="H560" s="82">
        <f t="shared" si="483"/>
        <v>1042979</v>
      </c>
      <c r="I560" s="112"/>
      <c r="J560" s="112"/>
      <c r="K560" s="78">
        <f t="shared" si="480"/>
        <v>30124.825688073393</v>
      </c>
      <c r="L560" s="24">
        <f t="shared" si="481"/>
        <v>4288.3027522935781</v>
      </c>
      <c r="M560" s="31">
        <f t="shared" si="484"/>
        <v>2.9994422326082358E-3</v>
      </c>
      <c r="N560" s="33">
        <f t="shared" si="485"/>
        <v>0.23134407285358033</v>
      </c>
      <c r="O560" s="46">
        <f>F560/D560</f>
        <v>254.19266055045873</v>
      </c>
      <c r="P560" s="52">
        <f t="shared" si="487"/>
        <v>5.9275819650211267E-2</v>
      </c>
      <c r="Q560" s="54">
        <f t="shared" si="488"/>
        <v>3189.5382262996941</v>
      </c>
      <c r="R560" s="72">
        <f>G560/H560</f>
        <v>9.4448862345262938</v>
      </c>
      <c r="S560" s="92">
        <f t="shared" si="482"/>
        <v>66.932721712538225</v>
      </c>
      <c r="T560" s="93">
        <f t="shared" si="490"/>
        <v>5.09480122324159</v>
      </c>
      <c r="V560" s="108" t="str">
        <f t="shared" si="491"/>
        <v>USA</v>
      </c>
      <c r="W560" s="109">
        <f t="shared" si="492"/>
        <v>24.155744710344813</v>
      </c>
      <c r="X560" s="103">
        <f t="shared" si="493"/>
        <v>5.9689693398417981E-2</v>
      </c>
    </row>
    <row r="561" spans="2:24" ht="15" thickBot="1" x14ac:dyDescent="0.35"/>
    <row r="562" spans="2:24" ht="29.4" thickBot="1" x14ac:dyDescent="0.35">
      <c r="B562" s="96">
        <v>41395</v>
      </c>
      <c r="C562" s="18" t="s">
        <v>8</v>
      </c>
      <c r="D562" s="19" t="s">
        <v>17</v>
      </c>
      <c r="E562" s="19" t="s">
        <v>15</v>
      </c>
      <c r="F562" s="19" t="s">
        <v>16</v>
      </c>
      <c r="G562" s="19" t="s">
        <v>14</v>
      </c>
      <c r="H562" s="19" t="s">
        <v>38</v>
      </c>
      <c r="I562" s="19"/>
      <c r="J562" s="19"/>
      <c r="K562" s="19" t="s">
        <v>21</v>
      </c>
      <c r="L562" s="19" t="s">
        <v>20</v>
      </c>
      <c r="M562" s="19" t="s">
        <v>40</v>
      </c>
      <c r="N562" s="19" t="s">
        <v>32</v>
      </c>
      <c r="O562" s="19" t="s">
        <v>22</v>
      </c>
      <c r="P562" s="51" t="s">
        <v>34</v>
      </c>
      <c r="Q562" s="20" t="s">
        <v>35</v>
      </c>
      <c r="R562" s="63" t="s">
        <v>39</v>
      </c>
      <c r="S562" s="91" t="s">
        <v>43</v>
      </c>
      <c r="T562" s="91" t="s">
        <v>44</v>
      </c>
      <c r="V562" s="104" t="s">
        <v>48</v>
      </c>
      <c r="W562" s="105" t="s">
        <v>49</v>
      </c>
      <c r="X562" s="106" t="s">
        <v>50</v>
      </c>
    </row>
    <row r="563" spans="2:24" x14ac:dyDescent="0.3">
      <c r="B563" s="3" t="s">
        <v>0</v>
      </c>
      <c r="C563" s="1">
        <v>21236</v>
      </c>
      <c r="D563" s="14">
        <v>14.45</v>
      </c>
      <c r="E563" s="1">
        <v>15845</v>
      </c>
      <c r="F563" s="1">
        <v>1765</v>
      </c>
      <c r="G563" s="1">
        <v>475058</v>
      </c>
      <c r="H563" s="1">
        <f>C563-E563-F563</f>
        <v>3626</v>
      </c>
      <c r="I563" s="1"/>
      <c r="J563" s="1"/>
      <c r="K563" s="21">
        <f t="shared" ref="K563:K574" si="494">G563/D563</f>
        <v>32875.986159169552</v>
      </c>
      <c r="L563" s="21">
        <f t="shared" ref="L563:L574" si="495">C563/D563</f>
        <v>1469.6193771626299</v>
      </c>
      <c r="M563" s="31">
        <f>(H563-H549)/H549</f>
        <v>-4.3524136111843838E-2</v>
      </c>
      <c r="N563" s="31">
        <f>F563/(E563+F563)</f>
        <v>0.10022714366837024</v>
      </c>
      <c r="O563" s="43">
        <f>F563/D563</f>
        <v>122.1453287197232</v>
      </c>
      <c r="P563" s="49">
        <f>F563/C563</f>
        <v>8.3113580711998494E-2</v>
      </c>
      <c r="Q563" s="47">
        <f>(C563-E563-F563)/D563</f>
        <v>250.93425605536333</v>
      </c>
      <c r="R563" s="66">
        <f>G563/H563</f>
        <v>131.01434087148374</v>
      </c>
      <c r="S563" s="92">
        <f>(C563-C549)/D563</f>
        <v>22.768166089965398</v>
      </c>
      <c r="T563" s="93">
        <f>(F563-F549)/D563</f>
        <v>2.7681660899653981</v>
      </c>
      <c r="V563" s="101" t="str">
        <f>B563</f>
        <v>ON</v>
      </c>
      <c r="W563" s="102">
        <f>C563/D563/180+IFERROR((D563*C563*5)/(F563*F563),400)</f>
        <v>8.657069008251506</v>
      </c>
      <c r="X563" s="103">
        <f>L563/75000/K563*K$573</f>
        <v>1.9459248714654896E-2</v>
      </c>
    </row>
    <row r="564" spans="2:24" x14ac:dyDescent="0.3">
      <c r="B564" s="5" t="s">
        <v>1</v>
      </c>
      <c r="C564" s="1">
        <v>39931</v>
      </c>
      <c r="D564" s="14">
        <v>8.43</v>
      </c>
      <c r="E564" s="1">
        <v>10470</v>
      </c>
      <c r="F564" s="1">
        <v>3220</v>
      </c>
      <c r="G564" s="1">
        <v>303282</v>
      </c>
      <c r="H564" s="1">
        <f t="shared" ref="H564:H574" si="496">C564-E564-F564</f>
        <v>26241</v>
      </c>
      <c r="I564" s="1"/>
      <c r="J564" s="1"/>
      <c r="K564" s="21">
        <f t="shared" si="494"/>
        <v>35976.512455516015</v>
      </c>
      <c r="L564" s="21">
        <f t="shared" si="495"/>
        <v>4736.7734282325027</v>
      </c>
      <c r="M564" s="31">
        <f t="shared" ref="M564:M570" si="497">(H564-H550)/H550</f>
        <v>7.7962977187187952E-3</v>
      </c>
      <c r="N564" s="31">
        <f t="shared" ref="N564:N574" si="498">F564/(E564+F564)</f>
        <v>0.23520818115412709</v>
      </c>
      <c r="O564" s="43">
        <f t="shared" ref="O564:O572" si="499">F564/D564</f>
        <v>381.96915776986953</v>
      </c>
      <c r="P564" s="49">
        <f t="shared" ref="P564:P574" si="500">F564/C564</f>
        <v>8.0639102451729228E-2</v>
      </c>
      <c r="Q564" s="47">
        <f t="shared" ref="Q564:Q574" si="501">(C564-E564-F564)/D564</f>
        <v>3112.8113879003558</v>
      </c>
      <c r="R564" s="66">
        <f t="shared" ref="R564:R569" si="502">G564/H564</f>
        <v>11.55756259288899</v>
      </c>
      <c r="S564" s="92">
        <f t="shared" ref="S564:S574" si="503">(C564-C550)/D564</f>
        <v>83.748517200474495</v>
      </c>
      <c r="T564" s="93">
        <f t="shared" ref="T564:T574" si="504">(F564-F550)/D564</f>
        <v>10.557532621589562</v>
      </c>
      <c r="V564" s="98" t="str">
        <f t="shared" ref="V564:V574" si="505">B564</f>
        <v>QC</v>
      </c>
      <c r="W564" s="100">
        <f t="shared" ref="W564:W574" si="506">C564/D564/180+IFERROR((D564*C564*5)/(F564*F564),400)</f>
        <v>26.477736900521393</v>
      </c>
      <c r="X564" s="103">
        <f t="shared" ref="X564:X574" si="507">L564/75000/K564*K$573</f>
        <v>5.7314372160993714E-2</v>
      </c>
    </row>
    <row r="565" spans="2:24" x14ac:dyDescent="0.3">
      <c r="B565" s="5" t="s">
        <v>2</v>
      </c>
      <c r="C565" s="1">
        <v>2376</v>
      </c>
      <c r="D565" s="14">
        <v>5.0199999999999996</v>
      </c>
      <c r="E565" s="1">
        <v>1859</v>
      </c>
      <c r="F565" s="1">
        <v>132</v>
      </c>
      <c r="G565" s="1">
        <v>114761</v>
      </c>
      <c r="H565" s="1">
        <f t="shared" si="496"/>
        <v>385</v>
      </c>
      <c r="I565" s="1"/>
      <c r="J565" s="1"/>
      <c r="K565" s="21">
        <f t="shared" si="494"/>
        <v>22860.756972111554</v>
      </c>
      <c r="L565" s="21">
        <f t="shared" si="495"/>
        <v>473.30677290836655</v>
      </c>
      <c r="M565" s="31">
        <f t="shared" si="497"/>
        <v>-3.0226700251889168E-2</v>
      </c>
      <c r="N565" s="31">
        <f t="shared" si="498"/>
        <v>6.6298342541436461E-2</v>
      </c>
      <c r="O565" s="43">
        <f t="shared" si="499"/>
        <v>26.294820717131476</v>
      </c>
      <c r="P565" s="49">
        <f t="shared" si="500"/>
        <v>5.5555555555555552E-2</v>
      </c>
      <c r="Q565" s="47">
        <f t="shared" si="501"/>
        <v>76.693227091633474</v>
      </c>
      <c r="R565" s="66">
        <f t="shared" si="502"/>
        <v>298.08051948051946</v>
      </c>
      <c r="S565" s="92">
        <f t="shared" si="503"/>
        <v>3.1872509960159365</v>
      </c>
      <c r="T565" s="93">
        <f t="shared" si="504"/>
        <v>0.19920318725099603</v>
      </c>
      <c r="V565" s="98" t="str">
        <f t="shared" si="505"/>
        <v>BC</v>
      </c>
      <c r="W565" s="100">
        <f t="shared" si="506"/>
        <v>6.0522093444404206</v>
      </c>
      <c r="X565" s="103">
        <f t="shared" si="507"/>
        <v>9.0126415916742426E-3</v>
      </c>
    </row>
    <row r="566" spans="2:24" x14ac:dyDescent="0.3">
      <c r="B566" s="5" t="s">
        <v>3</v>
      </c>
      <c r="C566" s="1">
        <v>6407</v>
      </c>
      <c r="D566" s="14">
        <v>4.34</v>
      </c>
      <c r="E566" s="1">
        <v>5076</v>
      </c>
      <c r="F566" s="1">
        <v>120</v>
      </c>
      <c r="G566" s="1">
        <v>195402</v>
      </c>
      <c r="H566" s="1">
        <f t="shared" si="496"/>
        <v>1211</v>
      </c>
      <c r="I566" s="1"/>
      <c r="J566" s="1"/>
      <c r="K566" s="21">
        <f t="shared" si="494"/>
        <v>45023.502304147463</v>
      </c>
      <c r="L566" s="21">
        <f t="shared" si="495"/>
        <v>1476.2672811059908</v>
      </c>
      <c r="M566" s="31">
        <f t="shared" si="497"/>
        <v>-0.11021307861866275</v>
      </c>
      <c r="N566" s="31">
        <f t="shared" si="498"/>
        <v>2.3094688221709007E-2</v>
      </c>
      <c r="O566" s="43">
        <f t="shared" si="499"/>
        <v>27.649769585253456</v>
      </c>
      <c r="P566" s="49">
        <f t="shared" si="500"/>
        <v>1.8729514593413453E-2</v>
      </c>
      <c r="Q566" s="47">
        <f t="shared" si="501"/>
        <v>279.03225806451616</v>
      </c>
      <c r="R566" s="66">
        <f t="shared" si="502"/>
        <v>161.35590421139554</v>
      </c>
      <c r="S566" s="92">
        <f t="shared" si="503"/>
        <v>14.285714285714286</v>
      </c>
      <c r="T566" s="93">
        <f t="shared" si="504"/>
        <v>0.46082949308755761</v>
      </c>
      <c r="V566" s="98" t="str">
        <f t="shared" si="505"/>
        <v>AL</v>
      </c>
      <c r="W566" s="100">
        <f t="shared" si="506"/>
        <v>17.85647795058884</v>
      </c>
      <c r="X566" s="103">
        <f t="shared" si="507"/>
        <v>1.4273343177378427E-2</v>
      </c>
    </row>
    <row r="567" spans="2:24" x14ac:dyDescent="0.3">
      <c r="B567" s="5" t="s">
        <v>4</v>
      </c>
      <c r="C567" s="1">
        <v>290</v>
      </c>
      <c r="D567" s="14">
        <v>1.36</v>
      </c>
      <c r="E567" s="1">
        <v>251</v>
      </c>
      <c r="F567" s="1">
        <v>7</v>
      </c>
      <c r="G567" s="1">
        <v>31946</v>
      </c>
      <c r="H567" s="1">
        <f t="shared" si="496"/>
        <v>32</v>
      </c>
      <c r="I567" s="1"/>
      <c r="J567" s="1"/>
      <c r="K567" s="21">
        <f t="shared" si="494"/>
        <v>23489.705882352941</v>
      </c>
      <c r="L567" s="21">
        <f t="shared" si="495"/>
        <v>213.23529411764704</v>
      </c>
      <c r="M567" s="31">
        <f t="shared" si="497"/>
        <v>0</v>
      </c>
      <c r="N567" s="31">
        <f t="shared" si="498"/>
        <v>2.7131782945736434E-2</v>
      </c>
      <c r="O567" s="43">
        <f t="shared" si="499"/>
        <v>5.1470588235294112</v>
      </c>
      <c r="P567" s="49">
        <f t="shared" si="500"/>
        <v>2.4137931034482758E-2</v>
      </c>
      <c r="Q567" s="47">
        <f t="shared" si="501"/>
        <v>23.52941176470588</v>
      </c>
      <c r="R567" s="66">
        <f t="shared" si="502"/>
        <v>998.3125</v>
      </c>
      <c r="S567" s="92">
        <f t="shared" si="503"/>
        <v>0</v>
      </c>
      <c r="T567" s="93">
        <f t="shared" si="504"/>
        <v>0</v>
      </c>
      <c r="V567" s="98" t="str">
        <f t="shared" si="505"/>
        <v>MA</v>
      </c>
      <c r="W567" s="100">
        <f t="shared" si="506"/>
        <v>41.429538482059492</v>
      </c>
      <c r="X567" s="103">
        <f t="shared" si="507"/>
        <v>3.9516775427327943E-3</v>
      </c>
    </row>
    <row r="568" spans="2:24" x14ac:dyDescent="0.3">
      <c r="B568" s="5" t="s">
        <v>5</v>
      </c>
      <c r="C568" s="1">
        <v>577</v>
      </c>
      <c r="D568" s="14">
        <v>1.17</v>
      </c>
      <c r="E568" s="1">
        <v>385</v>
      </c>
      <c r="F568" s="1">
        <v>6</v>
      </c>
      <c r="G568" s="1">
        <v>38157</v>
      </c>
      <c r="H568" s="1">
        <f t="shared" si="496"/>
        <v>186</v>
      </c>
      <c r="I568" s="1"/>
      <c r="J568" s="1"/>
      <c r="K568" s="21">
        <f t="shared" si="494"/>
        <v>32612.820512820515</v>
      </c>
      <c r="L568" s="21">
        <f t="shared" si="495"/>
        <v>493.16239316239319</v>
      </c>
      <c r="M568" s="31">
        <f t="shared" si="497"/>
        <v>-3.6269430051813469E-2</v>
      </c>
      <c r="N568" s="31">
        <f t="shared" si="498"/>
        <v>1.5345268542199489E-2</v>
      </c>
      <c r="O568" s="43">
        <f t="shared" si="499"/>
        <v>5.1282051282051286</v>
      </c>
      <c r="P568" s="49">
        <f t="shared" si="500"/>
        <v>1.0398613518197574E-2</v>
      </c>
      <c r="Q568" s="47">
        <f t="shared" si="501"/>
        <v>158.97435897435898</v>
      </c>
      <c r="R568" s="66">
        <f t="shared" si="502"/>
        <v>205.14516129032259</v>
      </c>
      <c r="S568" s="92">
        <f t="shared" si="503"/>
        <v>3.4188034188034191</v>
      </c>
      <c r="T568" s="93">
        <f t="shared" si="504"/>
        <v>0</v>
      </c>
      <c r="V568" s="98" t="str">
        <f t="shared" si="505"/>
        <v>SA</v>
      </c>
      <c r="W568" s="100">
        <f t="shared" si="506"/>
        <v>96.502291073124397</v>
      </c>
      <c r="X568" s="103">
        <f t="shared" si="507"/>
        <v>6.5826623559957663E-3</v>
      </c>
    </row>
    <row r="569" spans="2:24" x14ac:dyDescent="0.3">
      <c r="B569" s="5" t="s">
        <v>6</v>
      </c>
      <c r="C569" s="1">
        <v>1024</v>
      </c>
      <c r="D569" s="14">
        <v>0.96499999999999997</v>
      </c>
      <c r="E569" s="1">
        <v>870</v>
      </c>
      <c r="F569" s="1">
        <v>51</v>
      </c>
      <c r="G569" s="1">
        <f>34604+C569</f>
        <v>35628</v>
      </c>
      <c r="H569" s="1">
        <f t="shared" si="496"/>
        <v>103</v>
      </c>
      <c r="I569" s="1"/>
      <c r="J569" s="1"/>
      <c r="K569" s="21">
        <f t="shared" si="494"/>
        <v>36920.207253886008</v>
      </c>
      <c r="L569" s="21">
        <f t="shared" si="495"/>
        <v>1061.1398963730571</v>
      </c>
      <c r="M569" s="31">
        <f t="shared" si="497"/>
        <v>-4.6296296296296294E-2</v>
      </c>
      <c r="N569" s="31">
        <f t="shared" si="498"/>
        <v>5.5374592833876218E-2</v>
      </c>
      <c r="O569" s="43">
        <f t="shared" si="499"/>
        <v>52.84974093264249</v>
      </c>
      <c r="P569" s="49">
        <f t="shared" si="500"/>
        <v>4.98046875E-2</v>
      </c>
      <c r="Q569" s="47">
        <f t="shared" si="501"/>
        <v>106.7357512953368</v>
      </c>
      <c r="R569" s="66">
        <f t="shared" si="502"/>
        <v>345.90291262135923</v>
      </c>
      <c r="S569" s="92">
        <f t="shared" si="503"/>
        <v>4.1450777202072544</v>
      </c>
      <c r="T569" s="93">
        <f t="shared" si="504"/>
        <v>3.1088082901554404</v>
      </c>
      <c r="V569" s="98" t="str">
        <f t="shared" si="505"/>
        <v>NS</v>
      </c>
      <c r="W569" s="100">
        <f t="shared" si="506"/>
        <v>7.7947987322532395</v>
      </c>
      <c r="X569" s="103">
        <f t="shared" si="507"/>
        <v>1.2511474678852478E-2</v>
      </c>
    </row>
    <row r="570" spans="2:24" x14ac:dyDescent="0.3">
      <c r="B570" s="5" t="s">
        <v>7</v>
      </c>
      <c r="C570" s="1">
        <v>120</v>
      </c>
      <c r="D570" s="14">
        <v>0.77200000000000002</v>
      </c>
      <c r="E570" s="1">
        <v>118</v>
      </c>
      <c r="F570" s="1">
        <v>0</v>
      </c>
      <c r="G570" s="1">
        <v>18858</v>
      </c>
      <c r="H570" s="1">
        <f t="shared" si="496"/>
        <v>2</v>
      </c>
      <c r="I570" s="1"/>
      <c r="J570" s="1"/>
      <c r="K570" s="21">
        <f t="shared" si="494"/>
        <v>24427.461139896372</v>
      </c>
      <c r="L570" s="21">
        <f t="shared" si="495"/>
        <v>155.440414507772</v>
      </c>
      <c r="M570" s="31">
        <f t="shared" si="497"/>
        <v>0</v>
      </c>
      <c r="N570" s="31">
        <f t="shared" si="498"/>
        <v>0</v>
      </c>
      <c r="O570" s="43">
        <f t="shared" si="499"/>
        <v>0</v>
      </c>
      <c r="P570" s="49">
        <f t="shared" si="500"/>
        <v>0</v>
      </c>
      <c r="Q570" s="47">
        <f t="shared" si="501"/>
        <v>2.5906735751295336</v>
      </c>
      <c r="R570" s="66">
        <f>IFERROR(G570/H570,20000)</f>
        <v>9429</v>
      </c>
      <c r="S570" s="92">
        <f t="shared" si="503"/>
        <v>0</v>
      </c>
      <c r="T570" s="93">
        <f t="shared" si="504"/>
        <v>0</v>
      </c>
      <c r="V570" s="98" t="str">
        <f t="shared" si="505"/>
        <v>NB</v>
      </c>
      <c r="W570" s="100">
        <f t="shared" si="506"/>
        <v>400.86355785837651</v>
      </c>
      <c r="X570" s="103">
        <f t="shared" si="507"/>
        <v>2.7700372097851128E-3</v>
      </c>
    </row>
    <row r="571" spans="2:24" x14ac:dyDescent="0.3">
      <c r="B571" s="5" t="s">
        <v>18</v>
      </c>
      <c r="C571" s="9">
        <v>27</v>
      </c>
      <c r="D571" s="15">
        <v>0.154</v>
      </c>
      <c r="E571" s="9">
        <v>27</v>
      </c>
      <c r="F571" s="9">
        <v>0</v>
      </c>
      <c r="G571" s="9">
        <v>4334</v>
      </c>
      <c r="H571" s="1">
        <f t="shared" si="496"/>
        <v>0</v>
      </c>
      <c r="I571" s="9"/>
      <c r="J571" s="9"/>
      <c r="K571" s="22">
        <f t="shared" si="494"/>
        <v>28142.857142857145</v>
      </c>
      <c r="L571" s="22">
        <f t="shared" si="495"/>
        <v>175.32467532467533</v>
      </c>
      <c r="M571" s="31">
        <v>0</v>
      </c>
      <c r="N571" s="31">
        <f t="shared" si="498"/>
        <v>0</v>
      </c>
      <c r="O571" s="44">
        <f t="shared" si="499"/>
        <v>0</v>
      </c>
      <c r="P571" s="49">
        <f t="shared" si="500"/>
        <v>0</v>
      </c>
      <c r="Q571" s="47">
        <f t="shared" si="501"/>
        <v>0</v>
      </c>
      <c r="R571" s="66">
        <f>IFERROR(G571/H571,20000)</f>
        <v>20000</v>
      </c>
      <c r="S571" s="92">
        <f t="shared" si="503"/>
        <v>0</v>
      </c>
      <c r="T571" s="93">
        <f t="shared" si="504"/>
        <v>0</v>
      </c>
      <c r="V571" s="98" t="str">
        <f t="shared" si="505"/>
        <v>PEI</v>
      </c>
      <c r="W571" s="100">
        <f t="shared" si="506"/>
        <v>400.97402597402595</v>
      </c>
      <c r="X571" s="103">
        <f t="shared" si="507"/>
        <v>2.711907333405335E-3</v>
      </c>
    </row>
    <row r="572" spans="2:24" ht="15" thickBot="1" x14ac:dyDescent="0.35">
      <c r="B572" s="5" t="s">
        <v>11</v>
      </c>
      <c r="C572" s="9">
        <v>261</v>
      </c>
      <c r="D572" s="15">
        <v>0.52400000000000002</v>
      </c>
      <c r="E572" s="9">
        <v>247</v>
      </c>
      <c r="F572" s="9">
        <v>3</v>
      </c>
      <c r="G572" s="9">
        <v>10152</v>
      </c>
      <c r="H572" s="9">
        <f t="shared" si="496"/>
        <v>11</v>
      </c>
      <c r="I572" s="9"/>
      <c r="J572" s="9"/>
      <c r="K572" s="22">
        <f t="shared" si="494"/>
        <v>19374.045801526718</v>
      </c>
      <c r="L572" s="22">
        <f t="shared" si="495"/>
        <v>498.09160305343511</v>
      </c>
      <c r="M572" s="31">
        <f>(H572-H558)/H558</f>
        <v>-0.21428571428571427</v>
      </c>
      <c r="N572" s="32">
        <f t="shared" si="498"/>
        <v>1.2E-2</v>
      </c>
      <c r="O572" s="44">
        <f t="shared" si="499"/>
        <v>5.7251908396946565</v>
      </c>
      <c r="P572" s="50">
        <f t="shared" si="500"/>
        <v>1.1494252873563218E-2</v>
      </c>
      <c r="Q572" s="48">
        <f t="shared" si="501"/>
        <v>20.992366412213741</v>
      </c>
      <c r="R572" s="67">
        <f>G572/H572</f>
        <v>922.90909090909088</v>
      </c>
      <c r="S572" s="92">
        <f t="shared" si="503"/>
        <v>0</v>
      </c>
      <c r="T572" s="93">
        <f t="shared" si="504"/>
        <v>0</v>
      </c>
      <c r="V572" s="99" t="str">
        <f t="shared" si="505"/>
        <v>NFLD</v>
      </c>
      <c r="W572" s="107">
        <f t="shared" si="506"/>
        <v>78.747175572519083</v>
      </c>
      <c r="X572" s="103">
        <f t="shared" si="507"/>
        <v>1.1191515140083496E-2</v>
      </c>
    </row>
    <row r="573" spans="2:24" ht="15" thickBot="1" x14ac:dyDescent="0.35">
      <c r="B573" s="11" t="s">
        <v>10</v>
      </c>
      <c r="C573" s="12">
        <v>72279</v>
      </c>
      <c r="D573" s="16">
        <v>37.6</v>
      </c>
      <c r="E573" s="12">
        <v>35158</v>
      </c>
      <c r="F573" s="12">
        <v>5304</v>
      </c>
      <c r="G573" s="12">
        <f>SUM(G563:G572)</f>
        <v>1227578</v>
      </c>
      <c r="H573" s="81">
        <f t="shared" si="496"/>
        <v>31817</v>
      </c>
      <c r="I573" s="111"/>
      <c r="J573" s="111"/>
      <c r="K573" s="77">
        <f t="shared" si="494"/>
        <v>32648.351063829785</v>
      </c>
      <c r="L573" s="23">
        <f t="shared" si="495"/>
        <v>1922.313829787234</v>
      </c>
      <c r="M573" s="31">
        <f>(H573-H559)/H559</f>
        <v>-4.0380642333938521E-3</v>
      </c>
      <c r="N573" s="33">
        <f t="shared" si="498"/>
        <v>0.13108595719440463</v>
      </c>
      <c r="O573" s="45">
        <f>F573/D573</f>
        <v>141.06382978723403</v>
      </c>
      <c r="P573" s="53">
        <f t="shared" si="500"/>
        <v>7.3382310214585147E-2</v>
      </c>
      <c r="Q573" s="55">
        <f t="shared" si="501"/>
        <v>846.19680851063822</v>
      </c>
      <c r="R573" s="74">
        <f>G573/H573</f>
        <v>38.582455919791308</v>
      </c>
      <c r="S573" s="92">
        <f t="shared" si="503"/>
        <v>29.840425531914892</v>
      </c>
      <c r="T573" s="93">
        <f t="shared" si="504"/>
        <v>3.5904255319148937</v>
      </c>
      <c r="V573" s="108" t="str">
        <f t="shared" si="505"/>
        <v>Canada</v>
      </c>
      <c r="W573" s="109">
        <f t="shared" si="506"/>
        <v>11.162538874515525</v>
      </c>
      <c r="X573" s="103">
        <f t="shared" si="507"/>
        <v>2.5630851063829788E-2</v>
      </c>
    </row>
    <row r="574" spans="2:24" ht="15" thickBot="1" x14ac:dyDescent="0.35">
      <c r="B574" s="6" t="s">
        <v>9</v>
      </c>
      <c r="C574" s="7">
        <v>1432641</v>
      </c>
      <c r="D574" s="7">
        <v>327</v>
      </c>
      <c r="E574" s="7">
        <v>306298</v>
      </c>
      <c r="F574" s="7">
        <v>84747</v>
      </c>
      <c r="G574" s="7">
        <v>10199681</v>
      </c>
      <c r="H574" s="82">
        <f t="shared" si="496"/>
        <v>1041596</v>
      </c>
      <c r="I574" s="112"/>
      <c r="J574" s="112"/>
      <c r="K574" s="78">
        <f t="shared" si="494"/>
        <v>31191.685015290521</v>
      </c>
      <c r="L574" s="24">
        <f t="shared" si="495"/>
        <v>4381.1651376146792</v>
      </c>
      <c r="M574" s="31">
        <f>(H574-H560)/H560</f>
        <v>-1.3260094402667744E-3</v>
      </c>
      <c r="N574" s="33">
        <f t="shared" si="498"/>
        <v>0.21671930340497897</v>
      </c>
      <c r="O574" s="46">
        <f>F574/D574</f>
        <v>259.16513761467888</v>
      </c>
      <c r="P574" s="52">
        <f t="shared" si="500"/>
        <v>5.9154386898043546E-2</v>
      </c>
      <c r="Q574" s="54">
        <f t="shared" si="501"/>
        <v>3185.3088685015291</v>
      </c>
      <c r="R574" s="72">
        <f>G574/H574</f>
        <v>9.7923580735717106</v>
      </c>
      <c r="S574" s="92">
        <f t="shared" si="503"/>
        <v>92.862385321100916</v>
      </c>
      <c r="T574" s="93">
        <f t="shared" si="504"/>
        <v>4.9724770642201834</v>
      </c>
      <c r="V574" s="108" t="str">
        <f t="shared" si="505"/>
        <v>USA</v>
      </c>
      <c r="W574" s="109">
        <f t="shared" si="506"/>
        <v>24.665948121864819</v>
      </c>
      <c r="X574" s="103">
        <f t="shared" si="507"/>
        <v>6.1143567550705651E-2</v>
      </c>
    </row>
    <row r="575" spans="2:24" ht="15" thickBot="1" x14ac:dyDescent="0.35"/>
    <row r="576" spans="2:24" ht="29.4" thickBot="1" x14ac:dyDescent="0.35">
      <c r="B576" s="96">
        <v>41760</v>
      </c>
      <c r="C576" s="18" t="s">
        <v>8</v>
      </c>
      <c r="D576" s="19" t="s">
        <v>17</v>
      </c>
      <c r="E576" s="19" t="s">
        <v>15</v>
      </c>
      <c r="F576" s="19" t="s">
        <v>16</v>
      </c>
      <c r="G576" s="19" t="s">
        <v>14</v>
      </c>
      <c r="H576" s="19" t="s">
        <v>38</v>
      </c>
      <c r="I576" s="19"/>
      <c r="J576" s="19"/>
      <c r="K576" s="19" t="s">
        <v>21</v>
      </c>
      <c r="L576" s="19" t="s">
        <v>20</v>
      </c>
      <c r="M576" s="19" t="s">
        <v>40</v>
      </c>
      <c r="N576" s="19" t="s">
        <v>32</v>
      </c>
      <c r="O576" s="19" t="s">
        <v>22</v>
      </c>
      <c r="P576" s="51" t="s">
        <v>34</v>
      </c>
      <c r="Q576" s="20" t="s">
        <v>35</v>
      </c>
      <c r="R576" s="63" t="s">
        <v>39</v>
      </c>
      <c r="S576" s="91" t="s">
        <v>43</v>
      </c>
      <c r="T576" s="91" t="s">
        <v>44</v>
      </c>
      <c r="V576" s="104" t="s">
        <v>48</v>
      </c>
      <c r="W576" s="105" t="s">
        <v>49</v>
      </c>
      <c r="X576" s="106" t="s">
        <v>50</v>
      </c>
    </row>
    <row r="577" spans="2:24" x14ac:dyDescent="0.3">
      <c r="B577" s="3" t="s">
        <v>0</v>
      </c>
      <c r="C577" s="1">
        <v>21494</v>
      </c>
      <c r="D577" s="14">
        <v>14.45</v>
      </c>
      <c r="E577" s="1">
        <v>16204</v>
      </c>
      <c r="F577" s="1">
        <v>1798</v>
      </c>
      <c r="G577" s="1">
        <v>492487</v>
      </c>
      <c r="H577" s="1">
        <f>C577-E577-F577</f>
        <v>3492</v>
      </c>
      <c r="I577" s="1"/>
      <c r="J577" s="1"/>
      <c r="K577" s="21">
        <f t="shared" ref="K577:K588" si="508">G577/D577</f>
        <v>34082.145328719722</v>
      </c>
      <c r="L577" s="21">
        <f t="shared" ref="L577:L588" si="509">C577/D577</f>
        <v>1487.4740484429067</v>
      </c>
      <c r="M577" s="31">
        <f>(H577-H563)/H563</f>
        <v>-3.6955322669608381E-2</v>
      </c>
      <c r="N577" s="31">
        <f>F577/(E577+F577)</f>
        <v>9.9877791356515949E-2</v>
      </c>
      <c r="O577" s="43">
        <f>F577/D577</f>
        <v>124.42906574394465</v>
      </c>
      <c r="P577" s="49">
        <f>F577/C577</f>
        <v>8.3651251512049871E-2</v>
      </c>
      <c r="Q577" s="47">
        <f>(C577-E577-F577)/D577</f>
        <v>241.66089965397924</v>
      </c>
      <c r="R577" s="66">
        <f>G577/H577</f>
        <v>141.03293241695303</v>
      </c>
      <c r="S577" s="92">
        <f>(C577-C563)/D577</f>
        <v>17.854671280276818</v>
      </c>
      <c r="T577" s="93">
        <f>(F577-F563)/D577</f>
        <v>2.2837370242214532</v>
      </c>
      <c r="V577" s="101" t="str">
        <f>B577</f>
        <v>ON</v>
      </c>
      <c r="W577" s="102">
        <f>C577/D577/180+IFERROR((D577*C577*5)/(F577*F577),400)</f>
        <v>8.7441145411269776</v>
      </c>
      <c r="X577" s="103">
        <f>L577/75000/K577*K$587</f>
        <v>1.9402126138851752E-2</v>
      </c>
    </row>
    <row r="578" spans="2:24" x14ac:dyDescent="0.3">
      <c r="B578" s="5" t="s">
        <v>1</v>
      </c>
      <c r="C578" s="1">
        <f>40724+87</f>
        <v>40811</v>
      </c>
      <c r="D578" s="14">
        <v>8.43</v>
      </c>
      <c r="E578" s="1">
        <v>10829</v>
      </c>
      <c r="F578" s="1">
        <v>3351</v>
      </c>
      <c r="G578" s="1">
        <v>303262</v>
      </c>
      <c r="H578" s="1">
        <f t="shared" ref="H578:H588" si="510">C578-E578-F578</f>
        <v>26631</v>
      </c>
      <c r="I578" s="1"/>
      <c r="J578" s="1"/>
      <c r="K578" s="21">
        <f t="shared" si="508"/>
        <v>35974.139976275212</v>
      </c>
      <c r="L578" s="21">
        <f t="shared" si="509"/>
        <v>4841.1625148279954</v>
      </c>
      <c r="M578" s="31">
        <f t="shared" ref="M578:M584" si="511">(H578-H564)/H564</f>
        <v>1.4862238481765176E-2</v>
      </c>
      <c r="N578" s="31">
        <f t="shared" ref="N578:N588" si="512">F578/(E578+F578)</f>
        <v>0.23631875881523273</v>
      </c>
      <c r="O578" s="43">
        <f t="shared" ref="O578:O586" si="513">F578/D578</f>
        <v>397.50889679715306</v>
      </c>
      <c r="P578" s="49">
        <f t="shared" ref="P578:P588" si="514">F578/C578</f>
        <v>8.211021538310749E-2</v>
      </c>
      <c r="Q578" s="47">
        <f t="shared" ref="Q578:Q588" si="515">(C578-E578-F578)/D578</f>
        <v>3159.0747330960853</v>
      </c>
      <c r="R578" s="66">
        <f t="shared" ref="R578:R583" si="516">G578/H578</f>
        <v>11.387555855957343</v>
      </c>
      <c r="S578" s="92">
        <f t="shared" ref="S578:S588" si="517">(C578-C564)/D578</f>
        <v>104.38908659549229</v>
      </c>
      <c r="T578" s="93">
        <f t="shared" ref="T578:T588" si="518">(F578-F564)/D578</f>
        <v>15.539739027283511</v>
      </c>
      <c r="V578" s="98" t="str">
        <f t="shared" ref="V578:V588" si="519">B578</f>
        <v>QC</v>
      </c>
      <c r="W578" s="100">
        <f t="shared" ref="W578:W588" si="520">C578/D578/180+IFERROR((D578*C578*5)/(F578*F578),400)</f>
        <v>27.048535732699175</v>
      </c>
      <c r="X578" s="103">
        <f t="shared" ref="X578:X588" si="521">L578/75000/K578*K$587</f>
        <v>5.9825466249463097E-2</v>
      </c>
    </row>
    <row r="579" spans="2:24" x14ac:dyDescent="0.3">
      <c r="B579" s="5" t="s">
        <v>2</v>
      </c>
      <c r="C579" s="1">
        <v>2392</v>
      </c>
      <c r="D579" s="14">
        <v>5.0199999999999996</v>
      </c>
      <c r="E579" s="1">
        <v>1885</v>
      </c>
      <c r="F579" s="1">
        <v>135</v>
      </c>
      <c r="G579" s="1">
        <v>116764</v>
      </c>
      <c r="H579" s="1">
        <f t="shared" si="510"/>
        <v>372</v>
      </c>
      <c r="I579" s="1"/>
      <c r="J579" s="1"/>
      <c r="K579" s="21">
        <f t="shared" si="508"/>
        <v>23259.760956175302</v>
      </c>
      <c r="L579" s="21">
        <f t="shared" si="509"/>
        <v>476.49402390438252</v>
      </c>
      <c r="M579" s="31">
        <f t="shared" si="511"/>
        <v>-3.3766233766233764E-2</v>
      </c>
      <c r="N579" s="31">
        <f t="shared" si="512"/>
        <v>6.6831683168316836E-2</v>
      </c>
      <c r="O579" s="43">
        <f t="shared" si="513"/>
        <v>26.892430278884465</v>
      </c>
      <c r="P579" s="49">
        <f t="shared" si="514"/>
        <v>5.6438127090301E-2</v>
      </c>
      <c r="Q579" s="47">
        <f t="shared" si="515"/>
        <v>74.10358565737053</v>
      </c>
      <c r="R579" s="66">
        <f t="shared" si="516"/>
        <v>313.88172043010752</v>
      </c>
      <c r="S579" s="92">
        <f t="shared" si="517"/>
        <v>3.1872509960159365</v>
      </c>
      <c r="T579" s="93">
        <f t="shared" si="518"/>
        <v>0.59760956175298807</v>
      </c>
      <c r="V579" s="98" t="str">
        <f t="shared" si="519"/>
        <v>BC</v>
      </c>
      <c r="W579" s="100">
        <f t="shared" si="520"/>
        <v>5.941520983282234</v>
      </c>
      <c r="X579" s="103">
        <f t="shared" si="521"/>
        <v>9.1070781069945046E-3</v>
      </c>
    </row>
    <row r="580" spans="2:24" x14ac:dyDescent="0.3">
      <c r="B580" s="5" t="s">
        <v>3</v>
      </c>
      <c r="C580" s="1">
        <v>6457</v>
      </c>
      <c r="D580" s="14">
        <v>4.34</v>
      </c>
      <c r="E580" s="1">
        <v>5205</v>
      </c>
      <c r="F580" s="1">
        <v>121</v>
      </c>
      <c r="G580" s="1">
        <v>200218</v>
      </c>
      <c r="H580" s="1">
        <f t="shared" si="510"/>
        <v>1131</v>
      </c>
      <c r="I580" s="1"/>
      <c r="J580" s="1"/>
      <c r="K580" s="21">
        <f t="shared" si="508"/>
        <v>46133.179723502304</v>
      </c>
      <c r="L580" s="21">
        <f t="shared" si="509"/>
        <v>1487.7880184331798</v>
      </c>
      <c r="M580" s="31">
        <f t="shared" si="511"/>
        <v>-6.6061106523534266E-2</v>
      </c>
      <c r="N580" s="31">
        <f t="shared" si="512"/>
        <v>2.2718738265114533E-2</v>
      </c>
      <c r="O580" s="43">
        <f t="shared" si="513"/>
        <v>27.880184331797235</v>
      </c>
      <c r="P580" s="49">
        <f t="shared" si="514"/>
        <v>1.8739352640545145E-2</v>
      </c>
      <c r="Q580" s="47">
        <f t="shared" si="515"/>
        <v>260.59907834101381</v>
      </c>
      <c r="R580" s="66">
        <f t="shared" si="516"/>
        <v>177.02740937223695</v>
      </c>
      <c r="S580" s="92">
        <f t="shared" si="517"/>
        <v>11.520737327188941</v>
      </c>
      <c r="T580" s="93">
        <f t="shared" si="518"/>
        <v>0.2304147465437788</v>
      </c>
      <c r="V580" s="98" t="str">
        <f t="shared" si="519"/>
        <v>AL</v>
      </c>
      <c r="W580" s="100">
        <f t="shared" si="520"/>
        <v>17.83566179369965</v>
      </c>
      <c r="X580" s="103">
        <f t="shared" si="521"/>
        <v>1.4336875630031351E-2</v>
      </c>
    </row>
    <row r="581" spans="2:24" x14ac:dyDescent="0.3">
      <c r="B581" s="5" t="s">
        <v>4</v>
      </c>
      <c r="C581" s="1">
        <v>289</v>
      </c>
      <c r="D581" s="14">
        <v>1.36</v>
      </c>
      <c r="E581" s="1">
        <v>252</v>
      </c>
      <c r="F581" s="1">
        <v>7</v>
      </c>
      <c r="G581" s="1">
        <v>32244</v>
      </c>
      <c r="H581" s="1">
        <f t="shared" si="510"/>
        <v>30</v>
      </c>
      <c r="I581" s="1"/>
      <c r="J581" s="1"/>
      <c r="K581" s="21">
        <f t="shared" si="508"/>
        <v>23708.823529411762</v>
      </c>
      <c r="L581" s="21">
        <f t="shared" si="509"/>
        <v>212.49999999999997</v>
      </c>
      <c r="M581" s="31">
        <f t="shared" si="511"/>
        <v>-6.25E-2</v>
      </c>
      <c r="N581" s="31">
        <f t="shared" si="512"/>
        <v>2.7027027027027029E-2</v>
      </c>
      <c r="O581" s="43">
        <f t="shared" si="513"/>
        <v>5.1470588235294112</v>
      </c>
      <c r="P581" s="49">
        <f t="shared" si="514"/>
        <v>2.4221453287197232E-2</v>
      </c>
      <c r="Q581" s="47">
        <f t="shared" si="515"/>
        <v>22.058823529411764</v>
      </c>
      <c r="R581" s="66">
        <f t="shared" si="516"/>
        <v>1074.8</v>
      </c>
      <c r="S581" s="92">
        <f t="shared" si="517"/>
        <v>-0.73529411764705876</v>
      </c>
      <c r="T581" s="93">
        <f t="shared" si="518"/>
        <v>0</v>
      </c>
      <c r="V581" s="98" t="str">
        <f t="shared" si="519"/>
        <v>MA</v>
      </c>
      <c r="W581" s="100">
        <f t="shared" si="520"/>
        <v>41.286678004535148</v>
      </c>
      <c r="X581" s="103">
        <f t="shared" si="521"/>
        <v>3.9845178849042011E-3</v>
      </c>
    </row>
    <row r="582" spans="2:24" x14ac:dyDescent="0.3">
      <c r="B582" s="5" t="s">
        <v>5</v>
      </c>
      <c r="C582" s="1">
        <v>582</v>
      </c>
      <c r="D582" s="14">
        <v>1.17</v>
      </c>
      <c r="E582" s="1">
        <v>398</v>
      </c>
      <c r="F582" s="1">
        <v>6</v>
      </c>
      <c r="G582" s="1">
        <v>38728</v>
      </c>
      <c r="H582" s="1">
        <f t="shared" si="510"/>
        <v>178</v>
      </c>
      <c r="I582" s="1"/>
      <c r="J582" s="1"/>
      <c r="K582" s="21">
        <f t="shared" si="508"/>
        <v>33100.854700854703</v>
      </c>
      <c r="L582" s="21">
        <f t="shared" si="509"/>
        <v>497.43589743589746</v>
      </c>
      <c r="M582" s="31">
        <f t="shared" si="511"/>
        <v>-4.3010752688172046E-2</v>
      </c>
      <c r="N582" s="31">
        <f t="shared" si="512"/>
        <v>1.4851485148514851E-2</v>
      </c>
      <c r="O582" s="43">
        <f t="shared" si="513"/>
        <v>5.1282051282051286</v>
      </c>
      <c r="P582" s="49">
        <f t="shared" si="514"/>
        <v>1.0309278350515464E-2</v>
      </c>
      <c r="Q582" s="47">
        <f t="shared" si="515"/>
        <v>152.13675213675214</v>
      </c>
      <c r="R582" s="66">
        <f t="shared" si="516"/>
        <v>217.57303370786516</v>
      </c>
      <c r="S582" s="92">
        <f t="shared" si="517"/>
        <v>4.2735042735042734</v>
      </c>
      <c r="T582" s="93">
        <f t="shared" si="518"/>
        <v>0</v>
      </c>
      <c r="V582" s="98" t="str">
        <f t="shared" si="519"/>
        <v>SA</v>
      </c>
      <c r="W582" s="100">
        <f t="shared" si="520"/>
        <v>97.338532763532754</v>
      </c>
      <c r="X582" s="103">
        <f t="shared" si="521"/>
        <v>6.6807429997318988E-3</v>
      </c>
    </row>
    <row r="583" spans="2:24" x14ac:dyDescent="0.3">
      <c r="B583" s="5" t="s">
        <v>6</v>
      </c>
      <c r="C583" s="1">
        <v>1026</v>
      </c>
      <c r="D583" s="14">
        <v>0.96499999999999997</v>
      </c>
      <c r="E583" s="1">
        <v>909</v>
      </c>
      <c r="F583" s="1">
        <v>51</v>
      </c>
      <c r="G583" s="1">
        <f>35004+C583</f>
        <v>36030</v>
      </c>
      <c r="H583" s="1">
        <f t="shared" si="510"/>
        <v>66</v>
      </c>
      <c r="I583" s="1"/>
      <c r="J583" s="1"/>
      <c r="K583" s="21">
        <f t="shared" si="508"/>
        <v>37336.787564766841</v>
      </c>
      <c r="L583" s="21">
        <f t="shared" si="509"/>
        <v>1063.2124352331607</v>
      </c>
      <c r="M583" s="31">
        <f t="shared" si="511"/>
        <v>-0.35922330097087379</v>
      </c>
      <c r="N583" s="31">
        <f t="shared" si="512"/>
        <v>5.3124999999999999E-2</v>
      </c>
      <c r="O583" s="43">
        <f t="shared" si="513"/>
        <v>52.84974093264249</v>
      </c>
      <c r="P583" s="49">
        <f t="shared" si="514"/>
        <v>4.9707602339181284E-2</v>
      </c>
      <c r="Q583" s="47">
        <f t="shared" si="515"/>
        <v>68.393782383419691</v>
      </c>
      <c r="R583" s="66">
        <f t="shared" si="516"/>
        <v>545.90909090909088</v>
      </c>
      <c r="S583" s="92">
        <f t="shared" si="517"/>
        <v>2.0725388601036272</v>
      </c>
      <c r="T583" s="93">
        <f t="shared" si="518"/>
        <v>0</v>
      </c>
      <c r="V583" s="98" t="str">
        <f t="shared" si="519"/>
        <v>NS</v>
      </c>
      <c r="W583" s="100">
        <f t="shared" si="520"/>
        <v>7.8100229485271715</v>
      </c>
      <c r="X583" s="103">
        <f t="shared" si="521"/>
        <v>1.2659307491983631E-2</v>
      </c>
    </row>
    <row r="584" spans="2:24" x14ac:dyDescent="0.3">
      <c r="B584" s="5" t="s">
        <v>7</v>
      </c>
      <c r="C584" s="1">
        <v>120</v>
      </c>
      <c r="D584" s="14">
        <v>0.77200000000000002</v>
      </c>
      <c r="E584" s="1">
        <v>118</v>
      </c>
      <c r="F584" s="1">
        <v>0</v>
      </c>
      <c r="G584" s="1">
        <v>19307</v>
      </c>
      <c r="H584" s="1">
        <f t="shared" si="510"/>
        <v>2</v>
      </c>
      <c r="I584" s="1"/>
      <c r="J584" s="1"/>
      <c r="K584" s="21">
        <f t="shared" si="508"/>
        <v>25009.067357512951</v>
      </c>
      <c r="L584" s="21">
        <f t="shared" si="509"/>
        <v>155.440414507772</v>
      </c>
      <c r="M584" s="31">
        <f t="shared" si="511"/>
        <v>0</v>
      </c>
      <c r="N584" s="31">
        <f t="shared" si="512"/>
        <v>0</v>
      </c>
      <c r="O584" s="43">
        <f t="shared" si="513"/>
        <v>0</v>
      </c>
      <c r="P584" s="49">
        <f t="shared" si="514"/>
        <v>0</v>
      </c>
      <c r="Q584" s="47">
        <f t="shared" si="515"/>
        <v>2.5906735751295336</v>
      </c>
      <c r="R584" s="66">
        <f>IFERROR(G584/H584,20000)</f>
        <v>9653.5</v>
      </c>
      <c r="S584" s="92">
        <f t="shared" si="517"/>
        <v>0</v>
      </c>
      <c r="T584" s="93">
        <f t="shared" si="518"/>
        <v>0</v>
      </c>
      <c r="V584" s="98" t="str">
        <f t="shared" si="519"/>
        <v>NB</v>
      </c>
      <c r="W584" s="100">
        <f t="shared" si="520"/>
        <v>400.86355785837651</v>
      </c>
      <c r="X584" s="103">
        <f t="shared" si="521"/>
        <v>2.7630789846919148E-3</v>
      </c>
    </row>
    <row r="585" spans="2:24" x14ac:dyDescent="0.3">
      <c r="B585" s="5" t="s">
        <v>18</v>
      </c>
      <c r="C585" s="9">
        <v>27</v>
      </c>
      <c r="D585" s="15">
        <v>0.154</v>
      </c>
      <c r="E585" s="9">
        <v>27</v>
      </c>
      <c r="F585" s="9">
        <v>0</v>
      </c>
      <c r="G585" s="9">
        <v>4334</v>
      </c>
      <c r="H585" s="1">
        <f t="shared" si="510"/>
        <v>0</v>
      </c>
      <c r="I585" s="9"/>
      <c r="J585" s="9"/>
      <c r="K585" s="22">
        <f t="shared" si="508"/>
        <v>28142.857142857145</v>
      </c>
      <c r="L585" s="22">
        <f t="shared" si="509"/>
        <v>175.32467532467533</v>
      </c>
      <c r="M585" s="31">
        <v>0</v>
      </c>
      <c r="N585" s="31">
        <f t="shared" si="512"/>
        <v>0</v>
      </c>
      <c r="O585" s="44">
        <f t="shared" si="513"/>
        <v>0</v>
      </c>
      <c r="P585" s="49">
        <f t="shared" si="514"/>
        <v>0</v>
      </c>
      <c r="Q585" s="47">
        <f t="shared" si="515"/>
        <v>0</v>
      </c>
      <c r="R585" s="66">
        <f>IFERROR(G585/H585,20000)</f>
        <v>20000</v>
      </c>
      <c r="S585" s="92">
        <f t="shared" si="517"/>
        <v>0</v>
      </c>
      <c r="T585" s="93">
        <f t="shared" si="518"/>
        <v>0</v>
      </c>
      <c r="V585" s="98" t="str">
        <f t="shared" si="519"/>
        <v>PEI</v>
      </c>
      <c r="W585" s="100">
        <f t="shared" si="520"/>
        <v>400.97402597402595</v>
      </c>
      <c r="X585" s="103">
        <f t="shared" si="521"/>
        <v>2.769502155151253E-3</v>
      </c>
    </row>
    <row r="586" spans="2:24" ht="15" thickBot="1" x14ac:dyDescent="0.35">
      <c r="B586" s="5" t="s">
        <v>11</v>
      </c>
      <c r="C586" s="9">
        <v>261</v>
      </c>
      <c r="D586" s="15">
        <v>0.52400000000000002</v>
      </c>
      <c r="E586" s="9">
        <v>248</v>
      </c>
      <c r="F586" s="9">
        <v>3</v>
      </c>
      <c r="G586" s="9">
        <v>10275</v>
      </c>
      <c r="H586" s="9">
        <f t="shared" si="510"/>
        <v>10</v>
      </c>
      <c r="I586" s="9"/>
      <c r="J586" s="9"/>
      <c r="K586" s="22">
        <f t="shared" si="508"/>
        <v>19608.778625954197</v>
      </c>
      <c r="L586" s="22">
        <f t="shared" si="509"/>
        <v>498.09160305343511</v>
      </c>
      <c r="M586" s="31">
        <f>(H586-H572)/H572</f>
        <v>-9.0909090909090912E-2</v>
      </c>
      <c r="N586" s="32">
        <f t="shared" si="512"/>
        <v>1.1952191235059761E-2</v>
      </c>
      <c r="O586" s="44">
        <f t="shared" si="513"/>
        <v>5.7251908396946565</v>
      </c>
      <c r="P586" s="50">
        <f t="shared" si="514"/>
        <v>1.1494252873563218E-2</v>
      </c>
      <c r="Q586" s="48">
        <f t="shared" si="515"/>
        <v>19.083969465648853</v>
      </c>
      <c r="R586" s="67">
        <f>G586/H586</f>
        <v>1027.5</v>
      </c>
      <c r="S586" s="92">
        <f t="shared" si="517"/>
        <v>0</v>
      </c>
      <c r="T586" s="93">
        <f t="shared" si="518"/>
        <v>0</v>
      </c>
      <c r="V586" s="99" t="str">
        <f t="shared" si="519"/>
        <v>NFLD</v>
      </c>
      <c r="W586" s="107">
        <f t="shared" si="520"/>
        <v>78.747175572519083</v>
      </c>
      <c r="X586" s="103">
        <f t="shared" si="521"/>
        <v>1.1292381115079981E-2</v>
      </c>
    </row>
    <row r="587" spans="2:24" ht="15" thickBot="1" x14ac:dyDescent="0.35">
      <c r="B587" s="11" t="s">
        <v>10</v>
      </c>
      <c r="C587" s="12">
        <f>73401+87</f>
        <v>73488</v>
      </c>
      <c r="D587" s="16">
        <v>37.6</v>
      </c>
      <c r="E587" s="12">
        <v>36091</v>
      </c>
      <c r="F587" s="12">
        <v>5472</v>
      </c>
      <c r="G587" s="12">
        <f>SUM(G577:G586)</f>
        <v>1253649</v>
      </c>
      <c r="H587" s="81">
        <f t="shared" si="510"/>
        <v>31925</v>
      </c>
      <c r="I587" s="111"/>
      <c r="J587" s="111"/>
      <c r="K587" s="77">
        <f t="shared" si="508"/>
        <v>33341.728723404252</v>
      </c>
      <c r="L587" s="23">
        <f t="shared" si="509"/>
        <v>1954.4680851063829</v>
      </c>
      <c r="M587" s="31">
        <f>(H587-H573)/H573</f>
        <v>3.3944117924380049E-3</v>
      </c>
      <c r="N587" s="33">
        <f t="shared" si="512"/>
        <v>0.13165555903086881</v>
      </c>
      <c r="O587" s="45">
        <f>F587/D587</f>
        <v>145.53191489361703</v>
      </c>
      <c r="P587" s="53">
        <f t="shared" si="514"/>
        <v>7.4461136512083609E-2</v>
      </c>
      <c r="Q587" s="55">
        <f t="shared" si="515"/>
        <v>849.06914893617022</v>
      </c>
      <c r="R587" s="74">
        <f>G587/H587</f>
        <v>39.268566953797965</v>
      </c>
      <c r="S587" s="92">
        <f t="shared" si="517"/>
        <v>32.154255319148938</v>
      </c>
      <c r="T587" s="93">
        <f t="shared" si="518"/>
        <v>4.4680851063829783</v>
      </c>
      <c r="V587" s="108" t="str">
        <f t="shared" si="519"/>
        <v>Canada</v>
      </c>
      <c r="W587" s="109">
        <f t="shared" si="520"/>
        <v>11.319560819586606</v>
      </c>
      <c r="X587" s="103">
        <f t="shared" si="521"/>
        <v>2.60595744680851E-2</v>
      </c>
    </row>
    <row r="588" spans="2:24" ht="15" thickBot="1" x14ac:dyDescent="0.35">
      <c r="B588" s="6" t="s">
        <v>9</v>
      </c>
      <c r="C588" s="7">
        <v>1447185</v>
      </c>
      <c r="D588" s="7">
        <v>327</v>
      </c>
      <c r="E588" s="7">
        <v>312513</v>
      </c>
      <c r="F588" s="7">
        <v>86380</v>
      </c>
      <c r="G588" s="7">
        <v>10516577</v>
      </c>
      <c r="H588" s="82">
        <f t="shared" si="510"/>
        <v>1048292</v>
      </c>
      <c r="I588" s="112"/>
      <c r="J588" s="112"/>
      <c r="K588" s="78">
        <f t="shared" si="508"/>
        <v>32160.785932721712</v>
      </c>
      <c r="L588" s="24">
        <f t="shared" si="509"/>
        <v>4425.6422018348621</v>
      </c>
      <c r="M588" s="31">
        <f>(H588-H574)/H574</f>
        <v>6.4285961159605068E-3</v>
      </c>
      <c r="N588" s="33">
        <f t="shared" si="512"/>
        <v>0.21654930018827104</v>
      </c>
      <c r="O588" s="46">
        <f>F588/D588</f>
        <v>264.15902140672785</v>
      </c>
      <c r="P588" s="52">
        <f t="shared" si="514"/>
        <v>5.9688291407111044E-2</v>
      </c>
      <c r="Q588" s="54">
        <f t="shared" si="515"/>
        <v>3205.7859327217125</v>
      </c>
      <c r="R588" s="72">
        <f>G588/H588</f>
        <v>10.032106512307639</v>
      </c>
      <c r="S588" s="92">
        <f t="shared" si="517"/>
        <v>44.477064220183486</v>
      </c>
      <c r="T588" s="93">
        <f t="shared" si="518"/>
        <v>4.9938837920489298</v>
      </c>
      <c r="V588" s="108" t="str">
        <f t="shared" si="519"/>
        <v>USA</v>
      </c>
      <c r="W588" s="109">
        <f t="shared" si="520"/>
        <v>24.904015117109711</v>
      </c>
      <c r="X588" s="103">
        <f t="shared" si="521"/>
        <v>6.1175354785218017E-2</v>
      </c>
    </row>
    <row r="589" spans="2:24" ht="15" thickBot="1" x14ac:dyDescent="0.35"/>
    <row r="590" spans="2:24" ht="29.4" thickBot="1" x14ac:dyDescent="0.35">
      <c r="B590" s="96">
        <v>42125</v>
      </c>
      <c r="C590" s="18" t="s">
        <v>8</v>
      </c>
      <c r="D590" s="19" t="s">
        <v>17</v>
      </c>
      <c r="E590" s="19" t="s">
        <v>15</v>
      </c>
      <c r="F590" s="19" t="s">
        <v>16</v>
      </c>
      <c r="G590" s="19" t="s">
        <v>14</v>
      </c>
      <c r="H590" s="19" t="s">
        <v>38</v>
      </c>
      <c r="I590" s="19"/>
      <c r="J590" s="19"/>
      <c r="K590" s="19" t="s">
        <v>21</v>
      </c>
      <c r="L590" s="19" t="s">
        <v>20</v>
      </c>
      <c r="M590" s="19" t="s">
        <v>40</v>
      </c>
      <c r="N590" s="19" t="s">
        <v>32</v>
      </c>
      <c r="O590" s="19" t="s">
        <v>22</v>
      </c>
      <c r="P590" s="51" t="s">
        <v>34</v>
      </c>
      <c r="Q590" s="20" t="s">
        <v>35</v>
      </c>
      <c r="R590" s="63" t="s">
        <v>39</v>
      </c>
      <c r="S590" s="91" t="s">
        <v>43</v>
      </c>
      <c r="T590" s="91" t="s">
        <v>44</v>
      </c>
      <c r="V590" s="104" t="s">
        <v>48</v>
      </c>
      <c r="W590" s="105" t="s">
        <v>49</v>
      </c>
      <c r="X590" s="106" t="s">
        <v>50</v>
      </c>
    </row>
    <row r="591" spans="2:24" x14ac:dyDescent="0.3">
      <c r="B591" s="3" t="s">
        <v>0</v>
      </c>
      <c r="C591" s="1">
        <v>21922</v>
      </c>
      <c r="D591" s="14">
        <v>14.45</v>
      </c>
      <c r="E591" s="1">
        <v>16641</v>
      </c>
      <c r="F591" s="1">
        <v>1825</v>
      </c>
      <c r="G591" s="1">
        <v>510841</v>
      </c>
      <c r="H591" s="1">
        <f>C591-E591-F591</f>
        <v>3456</v>
      </c>
      <c r="I591" s="1"/>
      <c r="J591" s="1"/>
      <c r="K591" s="21">
        <f t="shared" ref="K591:K602" si="522">G591/D591</f>
        <v>35352.318339100348</v>
      </c>
      <c r="L591" s="21">
        <f t="shared" ref="L591:L602" si="523">C591/D591</f>
        <v>1517.0934256055364</v>
      </c>
      <c r="M591" s="31">
        <f>(H591-H577)/H577</f>
        <v>-1.0309278350515464E-2</v>
      </c>
      <c r="N591" s="31">
        <f>F591/(E591+F591)</f>
        <v>9.8830282681685255E-2</v>
      </c>
      <c r="O591" s="43">
        <f>F591/D591</f>
        <v>126.29757785467129</v>
      </c>
      <c r="P591" s="49">
        <f>F591/C591</f>
        <v>8.3249703494206739E-2</v>
      </c>
      <c r="Q591" s="47">
        <f>(C591-E591-F591)/D591</f>
        <v>239.16955017301038</v>
      </c>
      <c r="R591" s="66">
        <f>G591/H591</f>
        <v>147.81278935185185</v>
      </c>
      <c r="S591" s="92">
        <f>(C591-C577)/D591</f>
        <v>29.61937716262976</v>
      </c>
      <c r="T591" s="93">
        <f>(F591-F577)/D591</f>
        <v>1.8685121107266436</v>
      </c>
      <c r="V591" s="101" t="str">
        <f>B591</f>
        <v>ON</v>
      </c>
      <c r="W591" s="102">
        <f>C591/D591/180+IFERROR((D591*C591*5)/(F591*F591),400)</f>
        <v>8.9038425398260088</v>
      </c>
      <c r="X591" s="103">
        <f>L591/75000/K591*K$601</f>
        <v>1.9478687901681696E-2</v>
      </c>
    </row>
    <row r="592" spans="2:24" x14ac:dyDescent="0.3">
      <c r="B592" s="5" t="s">
        <v>1</v>
      </c>
      <c r="C592" s="1">
        <v>41420</v>
      </c>
      <c r="D592" s="14">
        <v>8.43</v>
      </c>
      <c r="E592" s="1">
        <v>11039</v>
      </c>
      <c r="F592" s="1">
        <v>3401</v>
      </c>
      <c r="G592" s="1">
        <v>303282</v>
      </c>
      <c r="H592" s="1">
        <f t="shared" ref="H592:H602" si="524">C592-E592-F592</f>
        <v>26980</v>
      </c>
      <c r="I592" s="1"/>
      <c r="J592" s="1"/>
      <c r="K592" s="21">
        <f t="shared" si="522"/>
        <v>35976.512455516015</v>
      </c>
      <c r="L592" s="21">
        <f t="shared" si="523"/>
        <v>4913.4045077105575</v>
      </c>
      <c r="M592" s="31">
        <f t="shared" ref="M592:M598" si="525">(H592-H578)/H578</f>
        <v>1.3105027974916451E-2</v>
      </c>
      <c r="N592" s="31">
        <f t="shared" ref="N592:N602" si="526">F592/(E592+F592)</f>
        <v>0.23552631578947369</v>
      </c>
      <c r="O592" s="43">
        <f t="shared" ref="O592:O600" si="527">F592/D592</f>
        <v>403.44009489916965</v>
      </c>
      <c r="P592" s="49">
        <f t="shared" ref="P592:P602" si="528">F592/C592</f>
        <v>8.2110091743119271E-2</v>
      </c>
      <c r="Q592" s="47">
        <f t="shared" ref="Q592:Q602" si="529">(C592-E592-F592)/D592</f>
        <v>3200.4744958481615</v>
      </c>
      <c r="R592" s="66">
        <f t="shared" ref="R592:R597" si="530">G592/H592</f>
        <v>11.240993328391401</v>
      </c>
      <c r="S592" s="92">
        <f t="shared" ref="S592:S602" si="531">(C592-C578)/D592</f>
        <v>72.241992882562286</v>
      </c>
      <c r="T592" s="93">
        <f t="shared" ref="T592:T602" si="532">(F592-F578)/D592</f>
        <v>5.9311981020166078</v>
      </c>
      <c r="V592" s="98" t="str">
        <f t="shared" ref="V592:V602" si="533">B592</f>
        <v>QC</v>
      </c>
      <c r="W592" s="100">
        <f t="shared" ref="W592:W602" si="534">C592/D592/180+IFERROR((D592*C592*5)/(F592*F592),400)</f>
        <v>27.447628256263087</v>
      </c>
      <c r="X592" s="103">
        <f t="shared" ref="X592:X602" si="535">L592/75000/K592*K$601</f>
        <v>6.1991012718027885E-2</v>
      </c>
    </row>
    <row r="593" spans="2:24" x14ac:dyDescent="0.3">
      <c r="B593" s="5" t="s">
        <v>2</v>
      </c>
      <c r="C593" s="1">
        <v>2407</v>
      </c>
      <c r="D593" s="14">
        <v>5.0199999999999996</v>
      </c>
      <c r="E593" s="1">
        <v>1908</v>
      </c>
      <c r="F593" s="1">
        <v>140</v>
      </c>
      <c r="G593" s="1">
        <v>118330</v>
      </c>
      <c r="H593" s="1">
        <f t="shared" si="524"/>
        <v>359</v>
      </c>
      <c r="I593" s="1"/>
      <c r="J593" s="1"/>
      <c r="K593" s="21">
        <f t="shared" si="522"/>
        <v>23571.713147410359</v>
      </c>
      <c r="L593" s="21">
        <f t="shared" si="523"/>
        <v>479.48207171314743</v>
      </c>
      <c r="M593" s="31">
        <f t="shared" si="525"/>
        <v>-3.4946236559139782E-2</v>
      </c>
      <c r="N593" s="31">
        <f t="shared" si="526"/>
        <v>6.8359375E-2</v>
      </c>
      <c r="O593" s="43">
        <f t="shared" si="527"/>
        <v>27.888446215139446</v>
      </c>
      <c r="P593" s="49">
        <f t="shared" si="528"/>
        <v>5.8163689239717493E-2</v>
      </c>
      <c r="Q593" s="47">
        <f t="shared" si="529"/>
        <v>71.513944223107572</v>
      </c>
      <c r="R593" s="66">
        <f t="shared" si="530"/>
        <v>329.61002785515319</v>
      </c>
      <c r="S593" s="92">
        <f t="shared" si="531"/>
        <v>2.9880478087649407</v>
      </c>
      <c r="T593" s="93">
        <f t="shared" si="532"/>
        <v>0.99601593625498019</v>
      </c>
      <c r="V593" s="98" t="str">
        <f t="shared" si="533"/>
        <v>BC</v>
      </c>
      <c r="W593" s="100">
        <f t="shared" si="534"/>
        <v>5.7462229607646513</v>
      </c>
      <c r="X593" s="103">
        <f t="shared" si="535"/>
        <v>9.2330778601494926E-3</v>
      </c>
    </row>
    <row r="594" spans="2:24" x14ac:dyDescent="0.3">
      <c r="B594" s="5" t="s">
        <v>3</v>
      </c>
      <c r="C594" s="1">
        <v>6515</v>
      </c>
      <c r="D594" s="14">
        <v>4.34</v>
      </c>
      <c r="E594" s="1">
        <v>5317</v>
      </c>
      <c r="F594" s="1">
        <f>121+4</f>
        <v>125</v>
      </c>
      <c r="G594" s="1">
        <v>204723</v>
      </c>
      <c r="H594" s="1">
        <f t="shared" si="524"/>
        <v>1073</v>
      </c>
      <c r="I594" s="1"/>
      <c r="J594" s="1"/>
      <c r="K594" s="21">
        <f t="shared" si="522"/>
        <v>47171.198156682032</v>
      </c>
      <c r="L594" s="21">
        <f t="shared" si="523"/>
        <v>1501.1520737327189</v>
      </c>
      <c r="M594" s="31">
        <f t="shared" si="525"/>
        <v>-5.128205128205128E-2</v>
      </c>
      <c r="N594" s="31">
        <f t="shared" si="526"/>
        <v>2.2969496508636531E-2</v>
      </c>
      <c r="O594" s="43">
        <f t="shared" si="527"/>
        <v>28.801843317972352</v>
      </c>
      <c r="P594" s="49">
        <f t="shared" si="528"/>
        <v>1.9186492709132769E-2</v>
      </c>
      <c r="Q594" s="47">
        <f t="shared" si="529"/>
        <v>247.23502304147468</v>
      </c>
      <c r="R594" s="66">
        <f t="shared" si="530"/>
        <v>190.79496738117427</v>
      </c>
      <c r="S594" s="92">
        <f t="shared" si="531"/>
        <v>13.364055299539171</v>
      </c>
      <c r="T594" s="93">
        <f t="shared" si="532"/>
        <v>0.92165898617511521</v>
      </c>
      <c r="V594" s="98" t="str">
        <f t="shared" si="533"/>
        <v>AL</v>
      </c>
      <c r="W594" s="100">
        <f t="shared" si="534"/>
        <v>17.387765742959548</v>
      </c>
      <c r="X594" s="103">
        <f t="shared" si="535"/>
        <v>1.444485062379566E-2</v>
      </c>
    </row>
    <row r="595" spans="2:24" x14ac:dyDescent="0.3">
      <c r="B595" s="5" t="s">
        <v>4</v>
      </c>
      <c r="C595" s="1">
        <v>289</v>
      </c>
      <c r="D595" s="14">
        <v>1.36</v>
      </c>
      <c r="E595" s="1">
        <v>254</v>
      </c>
      <c r="F595" s="1">
        <v>7</v>
      </c>
      <c r="G595" s="1">
        <v>33045</v>
      </c>
      <c r="H595" s="1">
        <f t="shared" si="524"/>
        <v>28</v>
      </c>
      <c r="I595" s="1"/>
      <c r="J595" s="1"/>
      <c r="K595" s="21">
        <f t="shared" si="522"/>
        <v>24297.794117647056</v>
      </c>
      <c r="L595" s="21">
        <f t="shared" si="523"/>
        <v>212.49999999999997</v>
      </c>
      <c r="M595" s="31">
        <f t="shared" si="525"/>
        <v>-6.6666666666666666E-2</v>
      </c>
      <c r="N595" s="31">
        <f t="shared" si="526"/>
        <v>2.681992337164751E-2</v>
      </c>
      <c r="O595" s="43">
        <f t="shared" si="527"/>
        <v>5.1470588235294112</v>
      </c>
      <c r="P595" s="49">
        <f t="shared" si="528"/>
        <v>2.4221453287197232E-2</v>
      </c>
      <c r="Q595" s="47">
        <f t="shared" si="529"/>
        <v>20.588235294117645</v>
      </c>
      <c r="R595" s="66">
        <f t="shared" si="530"/>
        <v>1180.1785714285713</v>
      </c>
      <c r="S595" s="92">
        <f t="shared" si="531"/>
        <v>0</v>
      </c>
      <c r="T595" s="93">
        <f t="shared" si="532"/>
        <v>0</v>
      </c>
      <c r="V595" s="98" t="str">
        <f t="shared" si="533"/>
        <v>MA</v>
      </c>
      <c r="W595" s="100">
        <f t="shared" si="534"/>
        <v>41.286678004535148</v>
      </c>
      <c r="X595" s="103">
        <f t="shared" si="535"/>
        <v>3.9696969960369968E-3</v>
      </c>
    </row>
    <row r="596" spans="2:24" x14ac:dyDescent="0.3">
      <c r="B596" s="5" t="s">
        <v>5</v>
      </c>
      <c r="C596" s="1">
        <v>590</v>
      </c>
      <c r="D596" s="14">
        <v>1.17</v>
      </c>
      <c r="E596" s="1">
        <v>408</v>
      </c>
      <c r="F596" s="1">
        <v>6</v>
      </c>
      <c r="G596" s="1">
        <v>38728</v>
      </c>
      <c r="H596" s="1">
        <f t="shared" si="524"/>
        <v>176</v>
      </c>
      <c r="I596" s="1"/>
      <c r="J596" s="1"/>
      <c r="K596" s="21">
        <f t="shared" si="522"/>
        <v>33100.854700854703</v>
      </c>
      <c r="L596" s="21">
        <f t="shared" si="523"/>
        <v>504.27350427350433</v>
      </c>
      <c r="M596" s="31">
        <f t="shared" si="525"/>
        <v>-1.1235955056179775E-2</v>
      </c>
      <c r="N596" s="31">
        <f t="shared" si="526"/>
        <v>1.4492753623188406E-2</v>
      </c>
      <c r="O596" s="43">
        <f t="shared" si="527"/>
        <v>5.1282051282051286</v>
      </c>
      <c r="P596" s="49">
        <f t="shared" si="528"/>
        <v>1.0169491525423728E-2</v>
      </c>
      <c r="Q596" s="47">
        <f t="shared" si="529"/>
        <v>150.42735042735043</v>
      </c>
      <c r="R596" s="66">
        <f t="shared" si="530"/>
        <v>220.04545454545453</v>
      </c>
      <c r="S596" s="92">
        <f t="shared" si="531"/>
        <v>6.8376068376068382</v>
      </c>
      <c r="T596" s="93">
        <f t="shared" si="532"/>
        <v>0</v>
      </c>
      <c r="V596" s="98" t="str">
        <f t="shared" si="533"/>
        <v>SA</v>
      </c>
      <c r="W596" s="100">
        <f t="shared" si="534"/>
        <v>98.676519468186129</v>
      </c>
      <c r="X596" s="103">
        <f t="shared" si="535"/>
        <v>6.9150004724713998E-3</v>
      </c>
    </row>
    <row r="597" spans="2:24" x14ac:dyDescent="0.3">
      <c r="B597" s="5" t="s">
        <v>6</v>
      </c>
      <c r="C597" s="1">
        <v>1034</v>
      </c>
      <c r="D597" s="14">
        <v>0.96499999999999997</v>
      </c>
      <c r="E597" s="1">
        <v>918</v>
      </c>
      <c r="F597" s="1">
        <v>55</v>
      </c>
      <c r="G597" s="1">
        <f>35375+C597</f>
        <v>36409</v>
      </c>
      <c r="H597" s="1">
        <f t="shared" si="524"/>
        <v>61</v>
      </c>
      <c r="I597" s="1"/>
      <c r="J597" s="1"/>
      <c r="K597" s="21">
        <f t="shared" si="522"/>
        <v>37729.533678756481</v>
      </c>
      <c r="L597" s="21">
        <f t="shared" si="523"/>
        <v>1071.5025906735752</v>
      </c>
      <c r="M597" s="31">
        <f t="shared" si="525"/>
        <v>-7.575757575757576E-2</v>
      </c>
      <c r="N597" s="31">
        <f t="shared" si="526"/>
        <v>5.6526207605344297E-2</v>
      </c>
      <c r="O597" s="43">
        <f t="shared" si="527"/>
        <v>56.994818652849744</v>
      </c>
      <c r="P597" s="49">
        <f t="shared" si="528"/>
        <v>5.3191489361702128E-2</v>
      </c>
      <c r="Q597" s="47">
        <f t="shared" si="529"/>
        <v>63.212435233160626</v>
      </c>
      <c r="R597" s="66">
        <f t="shared" si="530"/>
        <v>596.86885245901635</v>
      </c>
      <c r="S597" s="92">
        <f t="shared" si="531"/>
        <v>8.2901554404145088</v>
      </c>
      <c r="T597" s="93">
        <f t="shared" si="532"/>
        <v>4.1450777202072544</v>
      </c>
      <c r="V597" s="98" t="str">
        <f t="shared" si="533"/>
        <v>NS</v>
      </c>
      <c r="W597" s="100">
        <f t="shared" si="534"/>
        <v>7.6020648976814789</v>
      </c>
      <c r="X597" s="103">
        <f t="shared" si="535"/>
        <v>1.289071658106512E-2</v>
      </c>
    </row>
    <row r="598" spans="2:24" x14ac:dyDescent="0.3">
      <c r="B598" s="5" t="s">
        <v>7</v>
      </c>
      <c r="C598" s="1">
        <v>120</v>
      </c>
      <c r="D598" s="14">
        <v>0.77200000000000002</v>
      </c>
      <c r="E598" s="1">
        <v>119</v>
      </c>
      <c r="F598" s="1">
        <v>0</v>
      </c>
      <c r="G598" s="1">
        <v>19713</v>
      </c>
      <c r="H598" s="1">
        <f t="shared" si="524"/>
        <v>1</v>
      </c>
      <c r="I598" s="1"/>
      <c r="J598" s="1"/>
      <c r="K598" s="21">
        <f t="shared" si="522"/>
        <v>25534.974093264249</v>
      </c>
      <c r="L598" s="21">
        <f t="shared" si="523"/>
        <v>155.440414507772</v>
      </c>
      <c r="M598" s="31">
        <f t="shared" si="525"/>
        <v>-0.5</v>
      </c>
      <c r="N598" s="31">
        <f t="shared" si="526"/>
        <v>0</v>
      </c>
      <c r="O598" s="43">
        <f t="shared" si="527"/>
        <v>0</v>
      </c>
      <c r="P598" s="49">
        <f t="shared" si="528"/>
        <v>0</v>
      </c>
      <c r="Q598" s="47">
        <f t="shared" si="529"/>
        <v>1.2953367875647668</v>
      </c>
      <c r="R598" s="66">
        <f>IFERROR(G598/H598,15000)</f>
        <v>19713</v>
      </c>
      <c r="S598" s="92">
        <f t="shared" si="531"/>
        <v>0</v>
      </c>
      <c r="T598" s="93">
        <f t="shared" si="532"/>
        <v>0</v>
      </c>
      <c r="V598" s="98" t="str">
        <f t="shared" si="533"/>
        <v>NB</v>
      </c>
      <c r="W598" s="100">
        <f t="shared" si="534"/>
        <v>400.86355785837651</v>
      </c>
      <c r="X598" s="103">
        <f t="shared" si="535"/>
        <v>2.763082143655067E-3</v>
      </c>
    </row>
    <row r="599" spans="2:24" x14ac:dyDescent="0.3">
      <c r="B599" s="5" t="s">
        <v>18</v>
      </c>
      <c r="C599" s="9">
        <v>27</v>
      </c>
      <c r="D599" s="15">
        <v>0.154</v>
      </c>
      <c r="E599" s="9">
        <v>27</v>
      </c>
      <c r="F599" s="9">
        <v>0</v>
      </c>
      <c r="G599" s="9">
        <v>4596</v>
      </c>
      <c r="H599" s="1">
        <f t="shared" si="524"/>
        <v>0</v>
      </c>
      <c r="I599" s="9"/>
      <c r="J599" s="9"/>
      <c r="K599" s="22">
        <f t="shared" si="522"/>
        <v>29844.155844155845</v>
      </c>
      <c r="L599" s="22">
        <f t="shared" si="523"/>
        <v>175.32467532467533</v>
      </c>
      <c r="M599" s="31">
        <v>0</v>
      </c>
      <c r="N599" s="31">
        <f t="shared" si="526"/>
        <v>0</v>
      </c>
      <c r="O599" s="44">
        <f t="shared" si="527"/>
        <v>0</v>
      </c>
      <c r="P599" s="49">
        <f t="shared" si="528"/>
        <v>0</v>
      </c>
      <c r="Q599" s="47">
        <f t="shared" si="529"/>
        <v>0</v>
      </c>
      <c r="R599" s="66">
        <f>IFERROR(G599/H599,20000)</f>
        <v>20000</v>
      </c>
      <c r="S599" s="92">
        <f t="shared" si="531"/>
        <v>0</v>
      </c>
      <c r="T599" s="93">
        <f t="shared" si="532"/>
        <v>0</v>
      </c>
      <c r="V599" s="98" t="str">
        <f t="shared" si="533"/>
        <v>PEI</v>
      </c>
      <c r="W599" s="100">
        <f t="shared" si="534"/>
        <v>400.97402597402595</v>
      </c>
      <c r="X599" s="103">
        <f t="shared" si="535"/>
        <v>2.6665456085773012E-3</v>
      </c>
    </row>
    <row r="600" spans="2:24" ht="15" thickBot="1" x14ac:dyDescent="0.35">
      <c r="B600" s="5" t="s">
        <v>11</v>
      </c>
      <c r="C600" s="9">
        <v>260</v>
      </c>
      <c r="D600" s="15">
        <v>0.52400000000000002</v>
      </c>
      <c r="E600" s="9">
        <v>248</v>
      </c>
      <c r="F600" s="9">
        <v>3</v>
      </c>
      <c r="G600" s="9">
        <v>10346</v>
      </c>
      <c r="H600" s="9">
        <f t="shared" si="524"/>
        <v>9</v>
      </c>
      <c r="I600" s="9"/>
      <c r="J600" s="9"/>
      <c r="K600" s="22">
        <f t="shared" si="522"/>
        <v>19744.274809160306</v>
      </c>
      <c r="L600" s="22">
        <f t="shared" si="523"/>
        <v>496.18320610687022</v>
      </c>
      <c r="M600" s="31">
        <f>(H600-H586)/H586</f>
        <v>-0.1</v>
      </c>
      <c r="N600" s="32">
        <f t="shared" si="526"/>
        <v>1.1952191235059761E-2</v>
      </c>
      <c r="O600" s="44">
        <f t="shared" si="527"/>
        <v>5.7251908396946565</v>
      </c>
      <c r="P600" s="50">
        <f t="shared" si="528"/>
        <v>1.1538461538461539E-2</v>
      </c>
      <c r="Q600" s="48">
        <f t="shared" si="529"/>
        <v>17.175572519083968</v>
      </c>
      <c r="R600" s="67">
        <f>G600/H600</f>
        <v>1149.5555555555557</v>
      </c>
      <c r="S600" s="92">
        <f t="shared" si="531"/>
        <v>-1.9083969465648853</v>
      </c>
      <c r="T600" s="93">
        <f t="shared" si="532"/>
        <v>0</v>
      </c>
      <c r="V600" s="99" t="str">
        <f t="shared" si="533"/>
        <v>NFLD</v>
      </c>
      <c r="W600" s="107">
        <f t="shared" si="534"/>
        <v>78.445462256149284</v>
      </c>
      <c r="X600" s="103">
        <f t="shared" si="535"/>
        <v>1.140686091037342E-2</v>
      </c>
    </row>
    <row r="601" spans="2:24" ht="15" thickBot="1" x14ac:dyDescent="0.35">
      <c r="B601" s="11" t="s">
        <v>10</v>
      </c>
      <c r="C601" s="12">
        <v>74601</v>
      </c>
      <c r="D601" s="16">
        <v>37.6</v>
      </c>
      <c r="E601" s="12">
        <v>36895</v>
      </c>
      <c r="F601" s="12">
        <v>5562</v>
      </c>
      <c r="G601" s="12">
        <f>SUM(G591:G600)</f>
        <v>1280013</v>
      </c>
      <c r="H601" s="81">
        <f t="shared" si="524"/>
        <v>32144</v>
      </c>
      <c r="I601" s="111"/>
      <c r="J601" s="111"/>
      <c r="K601" s="77">
        <f t="shared" si="522"/>
        <v>34042.898936170212</v>
      </c>
      <c r="L601" s="23">
        <f t="shared" si="523"/>
        <v>1984.0691489361702</v>
      </c>
      <c r="M601" s="31">
        <f>(H601-H587)/H587</f>
        <v>6.8598277212216134E-3</v>
      </c>
      <c r="N601" s="33">
        <f t="shared" si="526"/>
        <v>0.1310031325811998</v>
      </c>
      <c r="O601" s="45">
        <f>F601/D601</f>
        <v>147.92553191489361</v>
      </c>
      <c r="P601" s="53">
        <f t="shared" si="528"/>
        <v>7.4556641331885637E-2</v>
      </c>
      <c r="Q601" s="55">
        <f t="shared" si="529"/>
        <v>854.89361702127655</v>
      </c>
      <c r="R601" s="74">
        <f>G601/H601</f>
        <v>39.821210801393725</v>
      </c>
      <c r="S601" s="92">
        <f t="shared" si="531"/>
        <v>29.601063829787233</v>
      </c>
      <c r="T601" s="93">
        <f t="shared" si="532"/>
        <v>2.3936170212765955</v>
      </c>
      <c r="V601" s="108" t="str">
        <f t="shared" si="533"/>
        <v>Canada</v>
      </c>
      <c r="W601" s="109">
        <f t="shared" si="534"/>
        <v>11.475963595408421</v>
      </c>
      <c r="X601" s="103">
        <f t="shared" si="535"/>
        <v>2.6454255319148936E-2</v>
      </c>
    </row>
    <row r="602" spans="2:24" ht="15" thickBot="1" x14ac:dyDescent="0.35">
      <c r="B602" s="6" t="s">
        <v>9</v>
      </c>
      <c r="C602" s="7">
        <v>1474806</v>
      </c>
      <c r="D602" s="7">
        <v>327</v>
      </c>
      <c r="E602" s="7">
        <v>317727</v>
      </c>
      <c r="F602" s="7">
        <v>87965</v>
      </c>
      <c r="G602" s="7">
        <v>10903348</v>
      </c>
      <c r="H602" s="82">
        <f t="shared" si="524"/>
        <v>1069114</v>
      </c>
      <c r="I602" s="112"/>
      <c r="J602" s="112"/>
      <c r="K602" s="78">
        <f t="shared" si="522"/>
        <v>33343.571865443424</v>
      </c>
      <c r="L602" s="24">
        <f t="shared" si="523"/>
        <v>4510.1100917431195</v>
      </c>
      <c r="M602" s="31">
        <f>(H602-H588)/H588</f>
        <v>1.9862786322894767E-2</v>
      </c>
      <c r="N602" s="33">
        <f t="shared" si="526"/>
        <v>0.21682705106336828</v>
      </c>
      <c r="O602" s="46">
        <f>F602/D602</f>
        <v>269.0061162079511</v>
      </c>
      <c r="P602" s="52">
        <f t="shared" si="528"/>
        <v>5.9645132986982694E-2</v>
      </c>
      <c r="Q602" s="54">
        <f t="shared" si="529"/>
        <v>3269.4617737003059</v>
      </c>
      <c r="R602" s="72">
        <f>G602/H602</f>
        <v>10.19848959044592</v>
      </c>
      <c r="S602" s="92">
        <f t="shared" si="531"/>
        <v>84.467889908256879</v>
      </c>
      <c r="T602" s="93">
        <f t="shared" si="532"/>
        <v>4.8470948012232418</v>
      </c>
      <c r="V602" s="108" t="str">
        <f t="shared" si="533"/>
        <v>USA</v>
      </c>
      <c r="W602" s="109">
        <f t="shared" si="534"/>
        <v>25.367792569000148</v>
      </c>
      <c r="X602" s="103">
        <f t="shared" si="535"/>
        <v>6.1396030660744394E-2</v>
      </c>
    </row>
    <row r="603" spans="2:24" ht="15" customHeight="1" thickBot="1" x14ac:dyDescent="0.35"/>
    <row r="604" spans="2:24" ht="29.4" thickBot="1" x14ac:dyDescent="0.35">
      <c r="B604" s="96">
        <v>42491</v>
      </c>
      <c r="C604" s="18" t="s">
        <v>8</v>
      </c>
      <c r="D604" s="19" t="s">
        <v>17</v>
      </c>
      <c r="E604" s="19" t="s">
        <v>15</v>
      </c>
      <c r="F604" s="19" t="s">
        <v>16</v>
      </c>
      <c r="G604" s="19" t="s">
        <v>14</v>
      </c>
      <c r="H604" s="20" t="s">
        <v>38</v>
      </c>
      <c r="I604" s="116"/>
      <c r="J604" s="116"/>
      <c r="K604" s="19" t="s">
        <v>21</v>
      </c>
      <c r="L604" s="19" t="s">
        <v>20</v>
      </c>
      <c r="M604" s="19" t="s">
        <v>40</v>
      </c>
      <c r="N604" s="19" t="s">
        <v>32</v>
      </c>
      <c r="O604" s="19" t="s">
        <v>22</v>
      </c>
      <c r="P604" s="51" t="s">
        <v>34</v>
      </c>
      <c r="Q604" s="20" t="s">
        <v>35</v>
      </c>
      <c r="R604" s="63" t="s">
        <v>39</v>
      </c>
      <c r="S604" s="91" t="s">
        <v>43</v>
      </c>
      <c r="T604" s="91" t="s">
        <v>44</v>
      </c>
      <c r="V604" s="104" t="s">
        <v>48</v>
      </c>
      <c r="W604" s="105" t="s">
        <v>49</v>
      </c>
      <c r="X604" s="106" t="s">
        <v>50</v>
      </c>
    </row>
    <row r="605" spans="2:24" x14ac:dyDescent="0.3">
      <c r="B605" s="3" t="s">
        <v>0</v>
      </c>
      <c r="C605" s="1">
        <v>22313</v>
      </c>
      <c r="D605" s="14">
        <v>14.45</v>
      </c>
      <c r="E605" s="1">
        <v>17020</v>
      </c>
      <c r="F605" s="1">
        <v>1858</v>
      </c>
      <c r="G605" s="1">
        <v>528609</v>
      </c>
      <c r="H605" s="118">
        <f>C605-E605-F605</f>
        <v>3435</v>
      </c>
      <c r="I605" s="117"/>
      <c r="J605" s="117"/>
      <c r="K605" s="114">
        <f t="shared" ref="K605:K616" si="536">G605/D605</f>
        <v>36581.937716262975</v>
      </c>
      <c r="L605" s="21">
        <f t="shared" ref="L605:L616" si="537">C605/D605</f>
        <v>1544.1522491349481</v>
      </c>
      <c r="M605" s="31">
        <f>(H605-H591)/H591</f>
        <v>-6.076388888888889E-3</v>
      </c>
      <c r="N605" s="31">
        <f>F605/(E605+F605)</f>
        <v>9.8421442949464991E-2</v>
      </c>
      <c r="O605" s="43">
        <f>F605/D605</f>
        <v>128.58131487889273</v>
      </c>
      <c r="P605" s="49">
        <f>F605/C605</f>
        <v>8.3269842692600723E-2</v>
      </c>
      <c r="Q605" s="47">
        <f>(C605-E605-F605)/D605</f>
        <v>237.71626297577856</v>
      </c>
      <c r="R605" s="66">
        <f>G605/H605</f>
        <v>153.88908296943231</v>
      </c>
      <c r="S605" s="92">
        <f>(C605-C591)/D605</f>
        <v>27.058823529411764</v>
      </c>
      <c r="T605" s="93">
        <f>(F605-F591)/D605</f>
        <v>2.2837370242214532</v>
      </c>
      <c r="V605" s="101" t="str">
        <f>B605</f>
        <v>ON</v>
      </c>
      <c r="W605" s="102">
        <f>C605/D605/180+IFERROR((D605*C605*5)/(F605*F605),400)</f>
        <v>9.0456101834203757</v>
      </c>
      <c r="X605" s="103">
        <f>L605/75000/K605*K$615</f>
        <v>1.9907144310461061E-2</v>
      </c>
    </row>
    <row r="606" spans="2:24" x14ac:dyDescent="0.3">
      <c r="B606" s="5" t="s">
        <v>1</v>
      </c>
      <c r="C606" s="1">
        <v>42183</v>
      </c>
      <c r="D606" s="14">
        <v>8.43</v>
      </c>
      <c r="E606" s="1">
        <v>11458</v>
      </c>
      <c r="F606" s="1">
        <v>3483</v>
      </c>
      <c r="G606" s="1">
        <v>327744</v>
      </c>
      <c r="H606" s="118">
        <f t="shared" ref="H606:H616" si="538">C606-E606-F606</f>
        <v>27242</v>
      </c>
      <c r="I606" s="117"/>
      <c r="J606" s="117"/>
      <c r="K606" s="114">
        <f t="shared" si="536"/>
        <v>38878.29181494662</v>
      </c>
      <c r="L606" s="21">
        <f t="shared" si="537"/>
        <v>5003.9145907473312</v>
      </c>
      <c r="M606" s="31">
        <f t="shared" ref="M606:M612" si="539">(H606-H592)/H592</f>
        <v>9.7108969607116388E-3</v>
      </c>
      <c r="N606" s="31">
        <f t="shared" ref="N606:N616" si="540">F606/(E606+F606)</f>
        <v>0.23311692657787297</v>
      </c>
      <c r="O606" s="43">
        <f t="shared" ref="O606:O614" si="541">F606/D606</f>
        <v>413.1672597864769</v>
      </c>
      <c r="P606" s="49">
        <f t="shared" ref="P606:P616" si="542">F606/C606</f>
        <v>8.2568807339449546E-2</v>
      </c>
      <c r="Q606" s="47">
        <f t="shared" ref="Q606:Q616" si="543">(C606-E606-F606)/D606</f>
        <v>3231.5539739027286</v>
      </c>
      <c r="R606" s="66">
        <f t="shared" ref="R606:R611" si="544">G606/H606</f>
        <v>12.030834740474267</v>
      </c>
      <c r="S606" s="92">
        <f t="shared" ref="S606:S616" si="545">(C606-C592)/D606</f>
        <v>90.510083036773437</v>
      </c>
      <c r="T606" s="93">
        <f t="shared" ref="T606:T616" si="546">(F606-F592)/D606</f>
        <v>9.7271648873072358</v>
      </c>
      <c r="V606" s="98" t="str">
        <f t="shared" ref="V606:V616" si="547">B606</f>
        <v>QC</v>
      </c>
      <c r="W606" s="100">
        <f t="shared" ref="W606:W616" si="548">C606/D606/180+IFERROR((D606*C606*5)/(F606*F606),400)</f>
        <v>27.946089768674764</v>
      </c>
      <c r="X606" s="103">
        <f t="shared" ref="X606:X616" si="549">L606/75000/K606*K$615</f>
        <v>6.069994052181879E-2</v>
      </c>
    </row>
    <row r="607" spans="2:24" x14ac:dyDescent="0.3">
      <c r="B607" s="5" t="s">
        <v>2</v>
      </c>
      <c r="C607" s="1">
        <v>2428</v>
      </c>
      <c r="D607" s="14">
        <v>5.0199999999999996</v>
      </c>
      <c r="E607" s="1">
        <v>1932</v>
      </c>
      <c r="F607" s="1">
        <v>141</v>
      </c>
      <c r="G607" s="95">
        <v>118335</v>
      </c>
      <c r="H607" s="118">
        <f t="shared" si="538"/>
        <v>355</v>
      </c>
      <c r="I607" s="117"/>
      <c r="J607" s="117"/>
      <c r="K607" s="114">
        <f t="shared" si="536"/>
        <v>23572.709163346615</v>
      </c>
      <c r="L607" s="21">
        <f t="shared" si="537"/>
        <v>483.66533864541839</v>
      </c>
      <c r="M607" s="31">
        <f t="shared" si="539"/>
        <v>-1.1142061281337047E-2</v>
      </c>
      <c r="N607" s="31">
        <f t="shared" si="540"/>
        <v>6.8017366136034735E-2</v>
      </c>
      <c r="O607" s="43">
        <f t="shared" si="541"/>
        <v>28.08764940239044</v>
      </c>
      <c r="P607" s="49">
        <f t="shared" si="542"/>
        <v>5.8072487644151564E-2</v>
      </c>
      <c r="Q607" s="47">
        <f t="shared" si="543"/>
        <v>70.717131474103596</v>
      </c>
      <c r="R607" s="66">
        <f t="shared" si="544"/>
        <v>333.33802816901408</v>
      </c>
      <c r="S607" s="92">
        <f t="shared" si="545"/>
        <v>4.1832669322709171</v>
      </c>
      <c r="T607" s="93">
        <f t="shared" si="546"/>
        <v>0.19920318725099603</v>
      </c>
      <c r="V607" s="98" t="str">
        <f t="shared" si="547"/>
        <v>BC</v>
      </c>
      <c r="W607" s="100">
        <f t="shared" si="548"/>
        <v>5.7524086642214396</v>
      </c>
      <c r="X607" s="103">
        <f t="shared" si="549"/>
        <v>9.6765605758624331E-3</v>
      </c>
    </row>
    <row r="608" spans="2:24" x14ac:dyDescent="0.3">
      <c r="B608" s="5" t="s">
        <v>3</v>
      </c>
      <c r="C608" s="1">
        <v>6587</v>
      </c>
      <c r="D608" s="14">
        <v>4.34</v>
      </c>
      <c r="E608" s="1">
        <v>5377</v>
      </c>
      <c r="F608" s="1">
        <v>126</v>
      </c>
      <c r="G608" s="1">
        <v>209317</v>
      </c>
      <c r="H608" s="118">
        <f t="shared" si="538"/>
        <v>1084</v>
      </c>
      <c r="I608" s="117"/>
      <c r="J608" s="117"/>
      <c r="K608" s="114">
        <f t="shared" si="536"/>
        <v>48229.72350230415</v>
      </c>
      <c r="L608" s="21">
        <f t="shared" si="537"/>
        <v>1517.741935483871</v>
      </c>
      <c r="M608" s="31">
        <f t="shared" si="539"/>
        <v>1.0251630941286114E-2</v>
      </c>
      <c r="N608" s="31">
        <f t="shared" si="540"/>
        <v>2.2896601853534437E-2</v>
      </c>
      <c r="O608" s="43">
        <f t="shared" si="541"/>
        <v>29.032258064516132</v>
      </c>
      <c r="P608" s="49">
        <f t="shared" si="542"/>
        <v>1.9128586609989374E-2</v>
      </c>
      <c r="Q608" s="47">
        <f t="shared" si="543"/>
        <v>249.76958525345623</v>
      </c>
      <c r="R608" s="66">
        <f t="shared" si="544"/>
        <v>193.09686346863469</v>
      </c>
      <c r="S608" s="92">
        <f t="shared" si="545"/>
        <v>16.589861751152075</v>
      </c>
      <c r="T608" s="93">
        <f t="shared" si="546"/>
        <v>0.2304147465437788</v>
      </c>
      <c r="V608" s="98" t="str">
        <f t="shared" si="547"/>
        <v>AL</v>
      </c>
      <c r="W608" s="100">
        <f t="shared" si="548"/>
        <v>17.435294703305455</v>
      </c>
      <c r="X608" s="103">
        <f t="shared" si="549"/>
        <v>1.4841189627988657E-2</v>
      </c>
    </row>
    <row r="609" spans="2:24" x14ac:dyDescent="0.3">
      <c r="B609" s="5" t="s">
        <v>4</v>
      </c>
      <c r="C609" s="1">
        <v>289</v>
      </c>
      <c r="D609" s="14">
        <v>1.36</v>
      </c>
      <c r="E609" s="1">
        <v>257</v>
      </c>
      <c r="F609" s="1">
        <v>7</v>
      </c>
      <c r="G609" s="1">
        <v>33953</v>
      </c>
      <c r="H609" s="118">
        <f t="shared" si="538"/>
        <v>25</v>
      </c>
      <c r="I609" s="117"/>
      <c r="J609" s="117"/>
      <c r="K609" s="114">
        <f t="shared" si="536"/>
        <v>24965.441176470587</v>
      </c>
      <c r="L609" s="21">
        <f t="shared" si="537"/>
        <v>212.49999999999997</v>
      </c>
      <c r="M609" s="31">
        <f t="shared" si="539"/>
        <v>-0.10714285714285714</v>
      </c>
      <c r="N609" s="31">
        <f t="shared" si="540"/>
        <v>2.6515151515151516E-2</v>
      </c>
      <c r="O609" s="43">
        <f t="shared" si="541"/>
        <v>5.1470588235294112</v>
      </c>
      <c r="P609" s="49">
        <f t="shared" si="542"/>
        <v>2.4221453287197232E-2</v>
      </c>
      <c r="Q609" s="47">
        <f t="shared" si="543"/>
        <v>18.382352941176471</v>
      </c>
      <c r="R609" s="66">
        <f t="shared" si="544"/>
        <v>1358.12</v>
      </c>
      <c r="S609" s="92">
        <f t="shared" si="545"/>
        <v>0</v>
      </c>
      <c r="T609" s="93">
        <f t="shared" si="546"/>
        <v>0</v>
      </c>
      <c r="V609" s="98" t="str">
        <f t="shared" si="547"/>
        <v>MA</v>
      </c>
      <c r="W609" s="100">
        <f t="shared" si="548"/>
        <v>41.286678004535148</v>
      </c>
      <c r="X609" s="103">
        <f t="shared" si="549"/>
        <v>4.0142576314818167E-3</v>
      </c>
    </row>
    <row r="610" spans="2:24" x14ac:dyDescent="0.3">
      <c r="B610" s="5" t="s">
        <v>5</v>
      </c>
      <c r="C610" s="1">
        <v>591</v>
      </c>
      <c r="D610" s="14">
        <v>1.17</v>
      </c>
      <c r="E610" s="1">
        <v>433</v>
      </c>
      <c r="F610" s="1">
        <v>6</v>
      </c>
      <c r="G610" s="1">
        <v>40097</v>
      </c>
      <c r="H610" s="118">
        <f t="shared" si="538"/>
        <v>152</v>
      </c>
      <c r="I610" s="117"/>
      <c r="J610" s="117"/>
      <c r="K610" s="114">
        <f t="shared" si="536"/>
        <v>34270.940170940172</v>
      </c>
      <c r="L610" s="21">
        <f t="shared" si="537"/>
        <v>505.12820512820514</v>
      </c>
      <c r="M610" s="31">
        <f t="shared" si="539"/>
        <v>-0.13636363636363635</v>
      </c>
      <c r="N610" s="31">
        <f t="shared" si="540"/>
        <v>1.366742596810934E-2</v>
      </c>
      <c r="O610" s="43">
        <f t="shared" si="541"/>
        <v>5.1282051282051286</v>
      </c>
      <c r="P610" s="49">
        <f t="shared" si="542"/>
        <v>1.015228426395939E-2</v>
      </c>
      <c r="Q610" s="47">
        <f t="shared" si="543"/>
        <v>129.91452991452994</v>
      </c>
      <c r="R610" s="66">
        <f t="shared" si="544"/>
        <v>263.79605263157896</v>
      </c>
      <c r="S610" s="92">
        <f t="shared" si="545"/>
        <v>0.85470085470085477</v>
      </c>
      <c r="T610" s="93">
        <f t="shared" si="546"/>
        <v>0</v>
      </c>
      <c r="V610" s="98" t="str">
        <f t="shared" si="547"/>
        <v>SA</v>
      </c>
      <c r="W610" s="100">
        <f t="shared" si="548"/>
        <v>98.843767806267792</v>
      </c>
      <c r="X610" s="103">
        <f t="shared" si="549"/>
        <v>6.9512219039043087E-3</v>
      </c>
    </row>
    <row r="611" spans="2:24" x14ac:dyDescent="0.3">
      <c r="B611" s="5" t="s">
        <v>6</v>
      </c>
      <c r="C611" s="1">
        <v>1037</v>
      </c>
      <c r="D611" s="14">
        <v>0.96499999999999997</v>
      </c>
      <c r="E611" s="1">
        <v>930</v>
      </c>
      <c r="F611" s="1">
        <v>55</v>
      </c>
      <c r="G611" s="1">
        <f>35703+C611</f>
        <v>36740</v>
      </c>
      <c r="H611" s="118">
        <f t="shared" si="538"/>
        <v>52</v>
      </c>
      <c r="I611" s="117"/>
      <c r="J611" s="117"/>
      <c r="K611" s="114">
        <f t="shared" si="536"/>
        <v>38072.538860103625</v>
      </c>
      <c r="L611" s="21">
        <f t="shared" si="537"/>
        <v>1074.6113989637306</v>
      </c>
      <c r="M611" s="31">
        <f t="shared" si="539"/>
        <v>-0.14754098360655737</v>
      </c>
      <c r="N611" s="31">
        <f t="shared" si="540"/>
        <v>5.5837563451776651E-2</v>
      </c>
      <c r="O611" s="43">
        <f t="shared" si="541"/>
        <v>56.994818652849744</v>
      </c>
      <c r="P611" s="49">
        <f t="shared" si="542"/>
        <v>5.3037608486017358E-2</v>
      </c>
      <c r="Q611" s="47">
        <f t="shared" si="543"/>
        <v>53.8860103626943</v>
      </c>
      <c r="R611" s="66">
        <f t="shared" si="544"/>
        <v>706.53846153846155</v>
      </c>
      <c r="S611" s="92">
        <f t="shared" si="545"/>
        <v>3.1088082901554404</v>
      </c>
      <c r="T611" s="93">
        <f t="shared" si="546"/>
        <v>0</v>
      </c>
      <c r="V611" s="98" t="str">
        <f t="shared" si="547"/>
        <v>NS</v>
      </c>
      <c r="W611" s="100">
        <f t="shared" si="548"/>
        <v>7.6241211788159511</v>
      </c>
      <c r="X611" s="103">
        <f t="shared" si="549"/>
        <v>1.3311443611809266E-2</v>
      </c>
    </row>
    <row r="612" spans="2:24" x14ac:dyDescent="0.3">
      <c r="B612" s="5" t="s">
        <v>7</v>
      </c>
      <c r="C612" s="1">
        <v>120</v>
      </c>
      <c r="D612" s="14">
        <v>0.77200000000000002</v>
      </c>
      <c r="E612" s="1">
        <v>120</v>
      </c>
      <c r="F612" s="1">
        <v>0</v>
      </c>
      <c r="G612" s="1">
        <v>20032</v>
      </c>
      <c r="H612" s="118">
        <f t="shared" si="538"/>
        <v>0</v>
      </c>
      <c r="I612" s="117"/>
      <c r="J612" s="117"/>
      <c r="K612" s="114">
        <f t="shared" si="536"/>
        <v>25948.186528497408</v>
      </c>
      <c r="L612" s="21">
        <f t="shared" si="537"/>
        <v>155.440414507772</v>
      </c>
      <c r="M612" s="31">
        <f t="shared" si="539"/>
        <v>-1</v>
      </c>
      <c r="N612" s="31">
        <f t="shared" si="540"/>
        <v>0</v>
      </c>
      <c r="O612" s="43">
        <f t="shared" si="541"/>
        <v>0</v>
      </c>
      <c r="P612" s="49">
        <f t="shared" si="542"/>
        <v>0</v>
      </c>
      <c r="Q612" s="47">
        <f t="shared" si="543"/>
        <v>0</v>
      </c>
      <c r="R612" s="66">
        <f>IFERROR(G612/H612,20000)</f>
        <v>20000</v>
      </c>
      <c r="S612" s="92">
        <f t="shared" si="545"/>
        <v>0</v>
      </c>
      <c r="T612" s="93">
        <f t="shared" si="546"/>
        <v>0</v>
      </c>
      <c r="V612" s="98" t="str">
        <f t="shared" si="547"/>
        <v>NB</v>
      </c>
      <c r="W612" s="100">
        <f t="shared" si="548"/>
        <v>400.86355785837651</v>
      </c>
      <c r="X612" s="103">
        <f t="shared" si="549"/>
        <v>2.8251563455917342E-3</v>
      </c>
    </row>
    <row r="613" spans="2:24" x14ac:dyDescent="0.3">
      <c r="B613" s="5" t="s">
        <v>18</v>
      </c>
      <c r="C613" s="9">
        <v>27</v>
      </c>
      <c r="D613" s="15">
        <v>0.154</v>
      </c>
      <c r="E613" s="9">
        <v>27</v>
      </c>
      <c r="F613" s="9">
        <v>0</v>
      </c>
      <c r="G613" s="9">
        <v>4596</v>
      </c>
      <c r="H613" s="118">
        <f t="shared" si="538"/>
        <v>0</v>
      </c>
      <c r="I613" s="117"/>
      <c r="J613" s="117"/>
      <c r="K613" s="115">
        <f t="shared" si="536"/>
        <v>29844.155844155845</v>
      </c>
      <c r="L613" s="22">
        <f t="shared" si="537"/>
        <v>175.32467532467533</v>
      </c>
      <c r="M613" s="31">
        <v>0</v>
      </c>
      <c r="N613" s="31">
        <f t="shared" si="540"/>
        <v>0</v>
      </c>
      <c r="O613" s="44">
        <f t="shared" si="541"/>
        <v>0</v>
      </c>
      <c r="P613" s="49">
        <f t="shared" si="542"/>
        <v>0</v>
      </c>
      <c r="Q613" s="47">
        <f t="shared" si="543"/>
        <v>0</v>
      </c>
      <c r="R613" s="66">
        <f>IFERROR(G613/H613,20000)</f>
        <v>20000</v>
      </c>
      <c r="S613" s="92">
        <f t="shared" si="545"/>
        <v>0</v>
      </c>
      <c r="T613" s="93">
        <f t="shared" si="546"/>
        <v>0</v>
      </c>
      <c r="V613" s="98" t="str">
        <f t="shared" si="547"/>
        <v>PEI</v>
      </c>
      <c r="W613" s="100">
        <f t="shared" si="548"/>
        <v>400.97402597402595</v>
      </c>
      <c r="X613" s="103">
        <f t="shared" si="549"/>
        <v>2.7705710793844789E-3</v>
      </c>
    </row>
    <row r="614" spans="2:24" ht="15" thickBot="1" x14ac:dyDescent="0.35">
      <c r="B614" s="5" t="s">
        <v>11</v>
      </c>
      <c r="C614" s="9">
        <v>260</v>
      </c>
      <c r="D614" s="15">
        <v>0.52400000000000002</v>
      </c>
      <c r="E614" s="9">
        <v>249</v>
      </c>
      <c r="F614" s="9">
        <v>3</v>
      </c>
      <c r="G614" s="9">
        <v>10525</v>
      </c>
      <c r="H614" s="119">
        <f t="shared" si="538"/>
        <v>8</v>
      </c>
      <c r="I614" s="117"/>
      <c r="J614" s="117"/>
      <c r="K614" s="115">
        <f t="shared" si="536"/>
        <v>20085.877862595418</v>
      </c>
      <c r="L614" s="22">
        <f t="shared" si="537"/>
        <v>496.18320610687022</v>
      </c>
      <c r="M614" s="31">
        <f>(H614-H600)/H600</f>
        <v>-0.1111111111111111</v>
      </c>
      <c r="N614" s="32">
        <f t="shared" si="540"/>
        <v>1.1904761904761904E-2</v>
      </c>
      <c r="O614" s="44">
        <f t="shared" si="541"/>
        <v>5.7251908396946565</v>
      </c>
      <c r="P614" s="50">
        <f t="shared" si="542"/>
        <v>1.1538461538461539E-2</v>
      </c>
      <c r="Q614" s="48">
        <f t="shared" si="543"/>
        <v>15.267175572519083</v>
      </c>
      <c r="R614" s="67">
        <f>G614/H614</f>
        <v>1315.625</v>
      </c>
      <c r="S614" s="92">
        <f t="shared" si="545"/>
        <v>0</v>
      </c>
      <c r="T614" s="93">
        <f t="shared" si="546"/>
        <v>0</v>
      </c>
      <c r="V614" s="99" t="str">
        <f t="shared" si="547"/>
        <v>NFLD</v>
      </c>
      <c r="W614" s="107">
        <f t="shared" si="548"/>
        <v>78.445462256149284</v>
      </c>
      <c r="X614" s="103">
        <f t="shared" si="549"/>
        <v>1.1650291605599638E-2</v>
      </c>
    </row>
    <row r="615" spans="2:24" ht="15" thickBot="1" x14ac:dyDescent="0.35">
      <c r="B615" s="11" t="s">
        <v>10</v>
      </c>
      <c r="C615" s="12">
        <v>75864</v>
      </c>
      <c r="D615" s="16">
        <v>37.6</v>
      </c>
      <c r="E615" s="12">
        <v>37819</v>
      </c>
      <c r="F615" s="12">
        <v>5679</v>
      </c>
      <c r="G615" s="12">
        <f>SUM(G605:G614)</f>
        <v>1329948</v>
      </c>
      <c r="H615" s="81">
        <f t="shared" si="538"/>
        <v>32366</v>
      </c>
      <c r="I615" s="117"/>
      <c r="J615" s="117"/>
      <c r="K615" s="77">
        <f t="shared" si="536"/>
        <v>35370.957446808512</v>
      </c>
      <c r="L615" s="23">
        <f t="shared" si="537"/>
        <v>2017.6595744680851</v>
      </c>
      <c r="M615" s="31">
        <f>(H615-H601)/H601</f>
        <v>6.9064211050273768E-3</v>
      </c>
      <c r="N615" s="33">
        <f t="shared" si="540"/>
        <v>0.13055772679203642</v>
      </c>
      <c r="O615" s="45">
        <f>F615/D615</f>
        <v>151.03723404255319</v>
      </c>
      <c r="P615" s="53">
        <f t="shared" si="542"/>
        <v>7.4857639987345778E-2</v>
      </c>
      <c r="Q615" s="55">
        <f t="shared" si="543"/>
        <v>860.79787234042556</v>
      </c>
      <c r="R615" s="74">
        <f>G615/H615</f>
        <v>41.090897855774578</v>
      </c>
      <c r="S615" s="92">
        <f t="shared" si="545"/>
        <v>33.590425531914896</v>
      </c>
      <c r="T615" s="93">
        <f t="shared" si="546"/>
        <v>3.1117021276595742</v>
      </c>
      <c r="V615" s="108" t="str">
        <f t="shared" si="547"/>
        <v>Canada</v>
      </c>
      <c r="W615" s="109">
        <f t="shared" si="548"/>
        <v>11.651451536817191</v>
      </c>
      <c r="X615" s="103">
        <f t="shared" si="549"/>
        <v>2.6902127659574469E-2</v>
      </c>
    </row>
    <row r="616" spans="2:24" ht="15" thickBot="1" x14ac:dyDescent="0.35">
      <c r="B616" s="6" t="s">
        <v>9</v>
      </c>
      <c r="C616" s="7">
        <v>1502015</v>
      </c>
      <c r="D616" s="7">
        <v>327</v>
      </c>
      <c r="E616" s="7">
        <v>337051</v>
      </c>
      <c r="F616" s="7">
        <v>89396</v>
      </c>
      <c r="G616" s="7">
        <v>11749786</v>
      </c>
      <c r="H616" s="82">
        <f t="shared" si="538"/>
        <v>1075568</v>
      </c>
      <c r="I616" s="117"/>
      <c r="J616" s="117"/>
      <c r="K616" s="78">
        <f t="shared" si="536"/>
        <v>35932.067278287461</v>
      </c>
      <c r="L616" s="24">
        <f t="shared" si="537"/>
        <v>4593.3180428134556</v>
      </c>
      <c r="M616" s="31">
        <f>(H616-H602)/H602</f>
        <v>6.0367743757915437E-3</v>
      </c>
      <c r="N616" s="33">
        <f t="shared" si="540"/>
        <v>0.20962980159316397</v>
      </c>
      <c r="O616" s="46">
        <f>F616/D616</f>
        <v>273.3822629969419</v>
      </c>
      <c r="P616" s="52">
        <f t="shared" si="542"/>
        <v>5.9517381650649293E-2</v>
      </c>
      <c r="Q616" s="54">
        <f t="shared" si="543"/>
        <v>3289.1987767584096</v>
      </c>
      <c r="R616" s="72">
        <f>G616/H616</f>
        <v>10.924261413504306</v>
      </c>
      <c r="S616" s="92">
        <f t="shared" si="545"/>
        <v>83.207951070336392</v>
      </c>
      <c r="T616" s="93">
        <f t="shared" si="546"/>
        <v>4.3761467889908259</v>
      </c>
      <c r="V616" s="108" t="str">
        <f t="shared" si="547"/>
        <v>USA</v>
      </c>
      <c r="W616" s="109">
        <f t="shared" si="548"/>
        <v>25.825728825359732</v>
      </c>
      <c r="X616" s="103">
        <f t="shared" si="549"/>
        <v>6.0287859596725807E-2</v>
      </c>
    </row>
    <row r="617" spans="2:24" ht="15" thickBot="1" x14ac:dyDescent="0.35"/>
    <row r="618" spans="2:24" ht="29.4" thickBot="1" x14ac:dyDescent="0.35">
      <c r="B618" s="96">
        <v>43221</v>
      </c>
      <c r="C618" s="18" t="s">
        <v>8</v>
      </c>
      <c r="D618" s="19" t="s">
        <v>17</v>
      </c>
      <c r="E618" s="19" t="s">
        <v>15</v>
      </c>
      <c r="F618" s="19" t="s">
        <v>16</v>
      </c>
      <c r="G618" s="19" t="s">
        <v>14</v>
      </c>
      <c r="H618" s="20" t="s">
        <v>38</v>
      </c>
      <c r="I618" s="116"/>
      <c r="J618" s="116"/>
      <c r="K618" s="19" t="s">
        <v>21</v>
      </c>
      <c r="L618" s="19" t="s">
        <v>20</v>
      </c>
      <c r="M618" s="19" t="s">
        <v>40</v>
      </c>
      <c r="N618" s="19" t="s">
        <v>32</v>
      </c>
      <c r="O618" s="19" t="s">
        <v>22</v>
      </c>
      <c r="P618" s="51" t="s">
        <v>34</v>
      </c>
      <c r="Q618" s="20" t="s">
        <v>35</v>
      </c>
      <c r="R618" s="63" t="s">
        <v>39</v>
      </c>
      <c r="S618" s="91" t="s">
        <v>43</v>
      </c>
      <c r="T618" s="91" t="s">
        <v>44</v>
      </c>
      <c r="V618" s="104" t="s">
        <v>48</v>
      </c>
      <c r="W618" s="105" t="s">
        <v>49</v>
      </c>
      <c r="X618" s="106" t="s">
        <v>50</v>
      </c>
    </row>
    <row r="619" spans="2:24" x14ac:dyDescent="0.3">
      <c r="B619" s="3" t="s">
        <v>0</v>
      </c>
      <c r="C619" s="1">
        <v>22957</v>
      </c>
      <c r="D619" s="14">
        <v>14.45</v>
      </c>
      <c r="E619" s="1">
        <v>17638</v>
      </c>
      <c r="F619" s="1">
        <v>1904</v>
      </c>
      <c r="G619" s="1">
        <v>553981</v>
      </c>
      <c r="H619" s="118">
        <f>C619-E619-F619</f>
        <v>3415</v>
      </c>
      <c r="I619" s="117"/>
      <c r="J619" s="117"/>
      <c r="K619" s="114">
        <f t="shared" ref="K619:K630" si="550">G619/D619</f>
        <v>38337.785467128029</v>
      </c>
      <c r="L619" s="21">
        <f t="shared" ref="L619:L630" si="551">C619/D619</f>
        <v>1588.7197231833911</v>
      </c>
      <c r="M619" s="31">
        <f>(H619-H605)/H605</f>
        <v>-5.822416302765648E-3</v>
      </c>
      <c r="N619" s="31">
        <f>F619/(E619+F619)</f>
        <v>9.74311738818954E-2</v>
      </c>
      <c r="O619" s="43">
        <f>F619/D619</f>
        <v>131.76470588235296</v>
      </c>
      <c r="P619" s="49">
        <f>F619/C619</f>
        <v>8.293766607135078E-2</v>
      </c>
      <c r="Q619" s="47">
        <f>(C619-E619-F619)/D619</f>
        <v>236.33217993079586</v>
      </c>
      <c r="R619" s="66">
        <f>G619/H619</f>
        <v>162.21991215226939</v>
      </c>
      <c r="S619" s="92">
        <f>(C619-C605)/D619/2</f>
        <v>22.283737024221455</v>
      </c>
      <c r="T619" s="93">
        <f>(F619-F605)/D619/2</f>
        <v>1.591695501730104</v>
      </c>
      <c r="V619" s="101" t="str">
        <f>B619</f>
        <v>ON</v>
      </c>
      <c r="W619" s="102">
        <f>C619/D619/180+IFERROR((D619*C619*5)/(F619*F619),400)</f>
        <v>9.2837501805256419</v>
      </c>
      <c r="X619" s="103">
        <f>L619/75000/K619*K$629</f>
        <v>2.0186770611650518E-2</v>
      </c>
    </row>
    <row r="620" spans="2:24" x14ac:dyDescent="0.3">
      <c r="B620" s="5" t="s">
        <v>1</v>
      </c>
      <c r="C620" s="1">
        <v>43627</v>
      </c>
      <c r="D620" s="14">
        <v>8.43</v>
      </c>
      <c r="E620" s="1">
        <v>12045</v>
      </c>
      <c r="F620" s="1">
        <v>3596</v>
      </c>
      <c r="G620" s="1">
        <v>336412</v>
      </c>
      <c r="H620" s="118">
        <f t="shared" ref="H620:H630" si="552">C620-E620-F620</f>
        <v>27986</v>
      </c>
      <c r="I620" s="117"/>
      <c r="J620" s="117"/>
      <c r="K620" s="114">
        <f t="shared" si="550"/>
        <v>39906.524317912219</v>
      </c>
      <c r="L620" s="21">
        <f t="shared" si="551"/>
        <v>5175.2075919335712</v>
      </c>
      <c r="M620" s="31">
        <f t="shared" ref="M620:M625" si="553">(H620-H606)/H606</f>
        <v>2.7310770134351368E-2</v>
      </c>
      <c r="N620" s="31">
        <f t="shared" ref="N620:N630" si="554">F620/(E620+F620)</f>
        <v>0.22990857362061248</v>
      </c>
      <c r="O620" s="43">
        <f t="shared" ref="O620:O628" si="555">F620/D620</f>
        <v>426.57176749703444</v>
      </c>
      <c r="P620" s="49">
        <f t="shared" ref="P620:P630" si="556">F620/C620</f>
        <v>8.2426020583583559E-2</v>
      </c>
      <c r="Q620" s="47">
        <f t="shared" ref="Q620:Q630" si="557">(C620-E620-F620)/D620</f>
        <v>3319.8102016607354</v>
      </c>
      <c r="R620" s="66">
        <f t="shared" ref="R620:R625" si="558">G620/H620</f>
        <v>12.020724648038305</v>
      </c>
      <c r="S620" s="92">
        <f t="shared" ref="S620:S630" si="559">(C620-C606)/D620/2</f>
        <v>85.646500593119811</v>
      </c>
      <c r="T620" s="93">
        <f t="shared" ref="T620:T630" si="560">(F620-F606)/D620/2</f>
        <v>6.7022538552787667</v>
      </c>
      <c r="V620" s="98" t="str">
        <f t="shared" ref="V620:V630" si="561">B620</f>
        <v>QC</v>
      </c>
      <c r="W620" s="100">
        <f t="shared" ref="W620:W630" si="562">C620/D620/180+IFERROR((D620*C620*5)/(F620*F620),400)</f>
        <v>28.89335786154685</v>
      </c>
      <c r="X620" s="103">
        <f t="shared" ref="X620:X630" si="563">L620/75000/K620*K$629</f>
        <v>6.3172847731542969E-2</v>
      </c>
    </row>
    <row r="621" spans="2:24" x14ac:dyDescent="0.3">
      <c r="B621" s="5" t="s">
        <v>2</v>
      </c>
      <c r="C621" s="1">
        <v>2444</v>
      </c>
      <c r="D621" s="14">
        <v>5.0199999999999996</v>
      </c>
      <c r="E621" s="1">
        <v>1966</v>
      </c>
      <c r="F621" s="1">
        <v>143</v>
      </c>
      <c r="G621" s="95">
        <v>118335</v>
      </c>
      <c r="H621" s="118">
        <f t="shared" si="552"/>
        <v>335</v>
      </c>
      <c r="I621" s="117"/>
      <c r="J621" s="117"/>
      <c r="K621" s="114">
        <f t="shared" si="550"/>
        <v>23572.709163346615</v>
      </c>
      <c r="L621" s="21">
        <f t="shared" si="551"/>
        <v>486.85258964143429</v>
      </c>
      <c r="M621" s="31">
        <f t="shared" si="553"/>
        <v>-5.6338028169014086E-2</v>
      </c>
      <c r="N621" s="31">
        <f t="shared" si="554"/>
        <v>6.7804646752015169E-2</v>
      </c>
      <c r="O621" s="43">
        <f t="shared" si="555"/>
        <v>28.486055776892432</v>
      </c>
      <c r="P621" s="49">
        <f t="shared" si="556"/>
        <v>5.8510638297872342E-2</v>
      </c>
      <c r="Q621" s="47">
        <f t="shared" si="557"/>
        <v>66.733067729083672</v>
      </c>
      <c r="R621" s="66">
        <f t="shared" si="558"/>
        <v>353.23880597014926</v>
      </c>
      <c r="S621" s="92">
        <f t="shared" si="559"/>
        <v>1.5936254980079683</v>
      </c>
      <c r="T621" s="93">
        <f t="shared" si="560"/>
        <v>0.19920318725099603</v>
      </c>
      <c r="V621" s="98" t="str">
        <f t="shared" si="561"/>
        <v>BC</v>
      </c>
      <c r="W621" s="100">
        <f t="shared" si="562"/>
        <v>5.7046094635373876</v>
      </c>
      <c r="X621" s="103">
        <f t="shared" si="563"/>
        <v>1.0060847593695865E-2</v>
      </c>
    </row>
    <row r="622" spans="2:24" x14ac:dyDescent="0.3">
      <c r="B622" s="5" t="s">
        <v>3</v>
      </c>
      <c r="C622" s="1">
        <v>6683</v>
      </c>
      <c r="D622" s="14">
        <v>4.34</v>
      </c>
      <c r="E622" s="1">
        <v>5519</v>
      </c>
      <c r="F622" s="1">
        <v>128</v>
      </c>
      <c r="G622" s="1">
        <v>216536</v>
      </c>
      <c r="H622" s="118">
        <f t="shared" si="552"/>
        <v>1036</v>
      </c>
      <c r="I622" s="117"/>
      <c r="J622" s="117"/>
      <c r="K622" s="114">
        <f t="shared" si="550"/>
        <v>49893.087557603685</v>
      </c>
      <c r="L622" s="21">
        <f t="shared" si="551"/>
        <v>1539.8617511520738</v>
      </c>
      <c r="M622" s="31">
        <f t="shared" si="553"/>
        <v>-4.4280442804428041E-2</v>
      </c>
      <c r="N622" s="31">
        <f t="shared" si="554"/>
        <v>2.2666902780237294E-2</v>
      </c>
      <c r="O622" s="43">
        <f t="shared" si="555"/>
        <v>29.493087557603687</v>
      </c>
      <c r="P622" s="49">
        <f t="shared" si="556"/>
        <v>1.9153074966332485E-2</v>
      </c>
      <c r="Q622" s="47">
        <f t="shared" si="557"/>
        <v>238.70967741935485</v>
      </c>
      <c r="R622" s="66">
        <f t="shared" si="558"/>
        <v>209.01158301158301</v>
      </c>
      <c r="S622" s="92">
        <f t="shared" si="559"/>
        <v>11.059907834101383</v>
      </c>
      <c r="T622" s="93">
        <f t="shared" si="560"/>
        <v>0.2304147465437788</v>
      </c>
      <c r="V622" s="98" t="str">
        <f t="shared" si="561"/>
        <v>AL</v>
      </c>
      <c r="W622" s="100">
        <f t="shared" si="562"/>
        <v>17.406173004447282</v>
      </c>
      <c r="X622" s="103">
        <f t="shared" si="563"/>
        <v>1.5034463494449157E-2</v>
      </c>
    </row>
    <row r="623" spans="2:24" x14ac:dyDescent="0.3">
      <c r="B623" s="5" t="s">
        <v>4</v>
      </c>
      <c r="C623" s="1">
        <v>290</v>
      </c>
      <c r="D623" s="14">
        <v>1.36</v>
      </c>
      <c r="E623" s="1">
        <v>257</v>
      </c>
      <c r="F623" s="1">
        <v>7</v>
      </c>
      <c r="G623" s="1">
        <v>35200</v>
      </c>
      <c r="H623" s="118">
        <f t="shared" si="552"/>
        <v>26</v>
      </c>
      <c r="I623" s="117"/>
      <c r="J623" s="117"/>
      <c r="K623" s="114">
        <f t="shared" si="550"/>
        <v>25882.352941176468</v>
      </c>
      <c r="L623" s="21">
        <f t="shared" si="551"/>
        <v>213.23529411764704</v>
      </c>
      <c r="M623" s="31">
        <f t="shared" si="553"/>
        <v>0.04</v>
      </c>
      <c r="N623" s="31">
        <f t="shared" si="554"/>
        <v>2.6515151515151516E-2</v>
      </c>
      <c r="O623" s="43">
        <f t="shared" si="555"/>
        <v>5.1470588235294112</v>
      </c>
      <c r="P623" s="49">
        <f t="shared" si="556"/>
        <v>2.4137931034482758E-2</v>
      </c>
      <c r="Q623" s="47">
        <f t="shared" si="557"/>
        <v>19.117647058823529</v>
      </c>
      <c r="R623" s="66">
        <f t="shared" si="558"/>
        <v>1353.8461538461538</v>
      </c>
      <c r="S623" s="92">
        <f t="shared" si="559"/>
        <v>0.36764705882352938</v>
      </c>
      <c r="T623" s="93">
        <f t="shared" si="560"/>
        <v>0</v>
      </c>
      <c r="V623" s="98" t="str">
        <f t="shared" si="561"/>
        <v>MA</v>
      </c>
      <c r="W623" s="100">
        <f t="shared" si="562"/>
        <v>41.429538482059492</v>
      </c>
      <c r="X623" s="103">
        <f t="shared" si="563"/>
        <v>4.0133027079303678E-3</v>
      </c>
    </row>
    <row r="624" spans="2:24" x14ac:dyDescent="0.3">
      <c r="B624" s="5" t="s">
        <v>5</v>
      </c>
      <c r="C624" s="1">
        <v>592</v>
      </c>
      <c r="D624" s="14">
        <v>1.17</v>
      </c>
      <c r="E624" s="1">
        <v>455</v>
      </c>
      <c r="F624" s="1">
        <v>6</v>
      </c>
      <c r="G624" s="1">
        <v>40097</v>
      </c>
      <c r="H624" s="118">
        <f t="shared" si="552"/>
        <v>131</v>
      </c>
      <c r="I624" s="117"/>
      <c r="J624" s="117"/>
      <c r="K624" s="114">
        <f t="shared" si="550"/>
        <v>34270.940170940172</v>
      </c>
      <c r="L624" s="21">
        <f t="shared" si="551"/>
        <v>505.982905982906</v>
      </c>
      <c r="M624" s="31">
        <f t="shared" si="553"/>
        <v>-0.13815789473684212</v>
      </c>
      <c r="N624" s="31">
        <f t="shared" si="554"/>
        <v>1.3015184381778741E-2</v>
      </c>
      <c r="O624" s="43">
        <f t="shared" si="555"/>
        <v>5.1282051282051286</v>
      </c>
      <c r="P624" s="49">
        <f t="shared" si="556"/>
        <v>1.0135135135135136E-2</v>
      </c>
      <c r="Q624" s="47">
        <f t="shared" si="557"/>
        <v>111.96581196581197</v>
      </c>
      <c r="R624" s="66">
        <f t="shared" si="558"/>
        <v>306.08396946564886</v>
      </c>
      <c r="S624" s="92">
        <f t="shared" si="559"/>
        <v>0.42735042735042739</v>
      </c>
      <c r="T624" s="93">
        <f t="shared" si="560"/>
        <v>0</v>
      </c>
      <c r="V624" s="98" t="str">
        <f t="shared" si="561"/>
        <v>SA</v>
      </c>
      <c r="W624" s="100">
        <f t="shared" si="562"/>
        <v>99.011016144349469</v>
      </c>
      <c r="X624" s="103">
        <f t="shared" si="563"/>
        <v>7.192111470110514E-3</v>
      </c>
    </row>
    <row r="625" spans="2:24" x14ac:dyDescent="0.3">
      <c r="B625" s="5" t="s">
        <v>6</v>
      </c>
      <c r="C625" s="1">
        <v>1043</v>
      </c>
      <c r="D625" s="14">
        <v>0.96499999999999997</v>
      </c>
      <c r="E625" s="1">
        <v>946</v>
      </c>
      <c r="F625" s="1">
        <v>55</v>
      </c>
      <c r="G625" s="1">
        <f>36263+C625</f>
        <v>37306</v>
      </c>
      <c r="H625" s="118">
        <f t="shared" si="552"/>
        <v>42</v>
      </c>
      <c r="I625" s="117"/>
      <c r="J625" s="117"/>
      <c r="K625" s="114">
        <f t="shared" si="550"/>
        <v>38659.067357512955</v>
      </c>
      <c r="L625" s="21">
        <f t="shared" si="551"/>
        <v>1080.8290155440416</v>
      </c>
      <c r="M625" s="31">
        <f t="shared" si="553"/>
        <v>-0.19230769230769232</v>
      </c>
      <c r="N625" s="31">
        <f t="shared" si="554"/>
        <v>5.4945054945054944E-2</v>
      </c>
      <c r="O625" s="43">
        <f t="shared" si="555"/>
        <v>56.994818652849744</v>
      </c>
      <c r="P625" s="49">
        <f t="shared" si="556"/>
        <v>5.2732502396931925E-2</v>
      </c>
      <c r="Q625" s="47">
        <f t="shared" si="557"/>
        <v>43.523316062176164</v>
      </c>
      <c r="R625" s="66">
        <f t="shared" si="558"/>
        <v>888.23809523809518</v>
      </c>
      <c r="S625" s="92">
        <f t="shared" si="559"/>
        <v>3.1088082901554404</v>
      </c>
      <c r="T625" s="93">
        <f t="shared" si="560"/>
        <v>0</v>
      </c>
      <c r="V625" s="98" t="str">
        <f t="shared" si="561"/>
        <v>NS</v>
      </c>
      <c r="W625" s="100">
        <f t="shared" si="562"/>
        <v>7.6682337410848955</v>
      </c>
      <c r="X625" s="103">
        <f t="shared" si="563"/>
        <v>1.3619219086314334E-2</v>
      </c>
    </row>
    <row r="626" spans="2:24" x14ac:dyDescent="0.3">
      <c r="B626" s="5" t="s">
        <v>7</v>
      </c>
      <c r="C626" s="1">
        <v>120</v>
      </c>
      <c r="D626" s="14">
        <v>0.77200000000000002</v>
      </c>
      <c r="E626" s="1">
        <v>120</v>
      </c>
      <c r="F626" s="1">
        <v>0</v>
      </c>
      <c r="G626" s="1">
        <v>20573</v>
      </c>
      <c r="H626" s="118">
        <f t="shared" si="552"/>
        <v>0</v>
      </c>
      <c r="I626" s="117"/>
      <c r="J626" s="117"/>
      <c r="K626" s="114">
        <f t="shared" si="550"/>
        <v>26648.963730569947</v>
      </c>
      <c r="L626" s="21">
        <f t="shared" si="551"/>
        <v>155.440414507772</v>
      </c>
      <c r="M626" s="31">
        <v>0</v>
      </c>
      <c r="N626" s="31">
        <f t="shared" si="554"/>
        <v>0</v>
      </c>
      <c r="O626" s="43">
        <f t="shared" si="555"/>
        <v>0</v>
      </c>
      <c r="P626" s="49">
        <f t="shared" si="556"/>
        <v>0</v>
      </c>
      <c r="Q626" s="47">
        <f t="shared" si="557"/>
        <v>0</v>
      </c>
      <c r="R626" s="66">
        <f>IFERROR(G626/H626,20000)</f>
        <v>20000</v>
      </c>
      <c r="S626" s="92">
        <f t="shared" si="559"/>
        <v>0</v>
      </c>
      <c r="T626" s="93">
        <f t="shared" si="560"/>
        <v>0</v>
      </c>
      <c r="V626" s="98" t="str">
        <f t="shared" si="561"/>
        <v>NB</v>
      </c>
      <c r="W626" s="100">
        <f t="shared" si="562"/>
        <v>400.86355785837651</v>
      </c>
      <c r="X626" s="103">
        <f t="shared" si="563"/>
        <v>2.8413857865762916E-3</v>
      </c>
    </row>
    <row r="627" spans="2:24" x14ac:dyDescent="0.3">
      <c r="B627" s="5" t="s">
        <v>18</v>
      </c>
      <c r="C627" s="9">
        <v>27</v>
      </c>
      <c r="D627" s="15">
        <v>0.154</v>
      </c>
      <c r="E627" s="9">
        <v>27</v>
      </c>
      <c r="F627" s="9">
        <v>0</v>
      </c>
      <c r="G627" s="9">
        <v>4596</v>
      </c>
      <c r="H627" s="118">
        <f t="shared" si="552"/>
        <v>0</v>
      </c>
      <c r="I627" s="117"/>
      <c r="J627" s="117"/>
      <c r="K627" s="115">
        <f t="shared" si="550"/>
        <v>29844.155844155845</v>
      </c>
      <c r="L627" s="22">
        <f t="shared" si="551"/>
        <v>175.32467532467533</v>
      </c>
      <c r="M627" s="31">
        <v>0</v>
      </c>
      <c r="N627" s="31">
        <f t="shared" si="554"/>
        <v>0</v>
      </c>
      <c r="O627" s="44">
        <f t="shared" si="555"/>
        <v>0</v>
      </c>
      <c r="P627" s="49">
        <f t="shared" si="556"/>
        <v>0</v>
      </c>
      <c r="Q627" s="47">
        <f t="shared" si="557"/>
        <v>0</v>
      </c>
      <c r="R627" s="66">
        <f>IFERROR(G627/H627,20000)</f>
        <v>20000</v>
      </c>
      <c r="S627" s="92">
        <f t="shared" si="559"/>
        <v>0</v>
      </c>
      <c r="T627" s="93">
        <f t="shared" si="560"/>
        <v>0</v>
      </c>
      <c r="V627" s="98" t="str">
        <f t="shared" si="561"/>
        <v>PEI</v>
      </c>
      <c r="W627" s="100">
        <f t="shared" si="562"/>
        <v>400.97402597402595</v>
      </c>
      <c r="X627" s="103">
        <f t="shared" si="563"/>
        <v>2.8617410143880894E-3</v>
      </c>
    </row>
    <row r="628" spans="2:24" ht="15" thickBot="1" x14ac:dyDescent="0.35">
      <c r="B628" s="5" t="s">
        <v>11</v>
      </c>
      <c r="C628" s="9">
        <v>260</v>
      </c>
      <c r="D628" s="15">
        <v>0.52400000000000002</v>
      </c>
      <c r="E628" s="9">
        <v>249</v>
      </c>
      <c r="F628" s="9">
        <v>3</v>
      </c>
      <c r="G628" s="9">
        <v>10676</v>
      </c>
      <c r="H628" s="119">
        <f t="shared" si="552"/>
        <v>8</v>
      </c>
      <c r="I628" s="117"/>
      <c r="J628" s="117"/>
      <c r="K628" s="115">
        <f t="shared" si="550"/>
        <v>20374.045801526718</v>
      </c>
      <c r="L628" s="22">
        <f t="shared" si="551"/>
        <v>496.18320610687022</v>
      </c>
      <c r="M628" s="31">
        <f>(H628-H614)/H614</f>
        <v>0</v>
      </c>
      <c r="N628" s="32">
        <f t="shared" si="554"/>
        <v>1.1904761904761904E-2</v>
      </c>
      <c r="O628" s="44">
        <f t="shared" si="555"/>
        <v>5.7251908396946565</v>
      </c>
      <c r="P628" s="50">
        <f t="shared" si="556"/>
        <v>1.1538461538461539E-2</v>
      </c>
      <c r="Q628" s="48">
        <f t="shared" si="557"/>
        <v>15.267175572519083</v>
      </c>
      <c r="R628" s="67">
        <f>G628/H628</f>
        <v>1334.5</v>
      </c>
      <c r="S628" s="92">
        <f t="shared" si="559"/>
        <v>0</v>
      </c>
      <c r="T628" s="93">
        <f t="shared" si="560"/>
        <v>0</v>
      </c>
      <c r="V628" s="99" t="str">
        <f t="shared" si="561"/>
        <v>NFLD</v>
      </c>
      <c r="W628" s="107">
        <f t="shared" si="562"/>
        <v>78.445462256149284</v>
      </c>
      <c r="X628" s="103">
        <f t="shared" si="563"/>
        <v>1.186345989812106E-2</v>
      </c>
    </row>
    <row r="629" spans="2:24" ht="15" thickBot="1" x14ac:dyDescent="0.35">
      <c r="B629" s="11" t="s">
        <v>10</v>
      </c>
      <c r="C629" s="12">
        <v>78072</v>
      </c>
      <c r="D629" s="16">
        <v>37.6</v>
      </c>
      <c r="E629" s="12">
        <v>39228</v>
      </c>
      <c r="F629" s="12">
        <v>5842</v>
      </c>
      <c r="G629" s="12">
        <f>SUM(G619:G628)</f>
        <v>1373712</v>
      </c>
      <c r="H629" s="81">
        <f t="shared" si="552"/>
        <v>33002</v>
      </c>
      <c r="I629" s="117"/>
      <c r="J629" s="117"/>
      <c r="K629" s="77">
        <f t="shared" si="550"/>
        <v>36534.893617021276</v>
      </c>
      <c r="L629" s="23">
        <f t="shared" si="551"/>
        <v>2076.382978723404</v>
      </c>
      <c r="M629" s="31">
        <f>(H629-H615)/H615</f>
        <v>1.965025026262127E-2</v>
      </c>
      <c r="N629" s="33">
        <f t="shared" si="554"/>
        <v>0.12962059019303307</v>
      </c>
      <c r="O629" s="45">
        <f>F629/D629</f>
        <v>155.37234042553192</v>
      </c>
      <c r="P629" s="53">
        <f t="shared" si="556"/>
        <v>7.4828363561840347E-2</v>
      </c>
      <c r="Q629" s="55">
        <f t="shared" si="557"/>
        <v>877.71276595744678</v>
      </c>
      <c r="R629" s="74">
        <f>G629/H629</f>
        <v>41.625113629476999</v>
      </c>
      <c r="S629" s="92">
        <f t="shared" si="559"/>
        <v>29.361702127659573</v>
      </c>
      <c r="T629" s="93">
        <f t="shared" si="560"/>
        <v>2.1675531914893615</v>
      </c>
      <c r="V629" s="108" t="str">
        <f t="shared" si="561"/>
        <v>Canada</v>
      </c>
      <c r="W629" s="109">
        <f t="shared" si="562"/>
        <v>11.9655219815742</v>
      </c>
      <c r="X629" s="103">
        <f t="shared" si="563"/>
        <v>2.7685106382978719E-2</v>
      </c>
    </row>
    <row r="630" spans="2:24" ht="15" thickBot="1" x14ac:dyDescent="0.35">
      <c r="B630" s="6" t="s">
        <v>9</v>
      </c>
      <c r="C630" s="7">
        <v>1543050</v>
      </c>
      <c r="D630" s="7">
        <v>327</v>
      </c>
      <c r="E630" s="7">
        <v>351741</v>
      </c>
      <c r="F630" s="7">
        <v>91603</v>
      </c>
      <c r="G630" s="7">
        <v>12064159</v>
      </c>
      <c r="H630" s="82">
        <f t="shared" si="552"/>
        <v>1099706</v>
      </c>
      <c r="I630" s="117"/>
      <c r="J630" s="117"/>
      <c r="K630" s="78">
        <f t="shared" si="550"/>
        <v>36893.45259938838</v>
      </c>
      <c r="L630" s="24">
        <f t="shared" si="551"/>
        <v>4718.8073394495414</v>
      </c>
      <c r="M630" s="31">
        <f>(H630-H616)/H616</f>
        <v>2.244209571128929E-2</v>
      </c>
      <c r="N630" s="33">
        <f t="shared" si="554"/>
        <v>0.206618337002418</v>
      </c>
      <c r="O630" s="46">
        <f>F630/D630</f>
        <v>280.13149847094803</v>
      </c>
      <c r="P630" s="52">
        <f t="shared" si="556"/>
        <v>5.9364894203039434E-2</v>
      </c>
      <c r="Q630" s="54">
        <f t="shared" si="557"/>
        <v>3363.0152905198775</v>
      </c>
      <c r="R630" s="72">
        <f>G630/H630</f>
        <v>10.970349347916626</v>
      </c>
      <c r="S630" s="92">
        <f t="shared" si="559"/>
        <v>62.744648318042813</v>
      </c>
      <c r="T630" s="93">
        <f t="shared" si="560"/>
        <v>3.3746177370030579</v>
      </c>
      <c r="V630" s="108" t="str">
        <f t="shared" si="561"/>
        <v>USA</v>
      </c>
      <c r="W630" s="109">
        <f t="shared" si="562"/>
        <v>26.516258205469189</v>
      </c>
      <c r="X630" s="103">
        <f t="shared" si="563"/>
        <v>6.2305951146416065E-2</v>
      </c>
    </row>
    <row r="631" spans="2:24" ht="15" thickBot="1" x14ac:dyDescent="0.35"/>
    <row r="632" spans="2:24" ht="29.4" thickBot="1" x14ac:dyDescent="0.35">
      <c r="B632" s="96">
        <v>43586</v>
      </c>
      <c r="C632" s="18" t="s">
        <v>8</v>
      </c>
      <c r="D632" s="19" t="s">
        <v>17</v>
      </c>
      <c r="E632" s="19" t="s">
        <v>15</v>
      </c>
      <c r="F632" s="19" t="s">
        <v>16</v>
      </c>
      <c r="G632" s="19" t="s">
        <v>14</v>
      </c>
      <c r="H632" s="20" t="s">
        <v>38</v>
      </c>
      <c r="I632" s="116"/>
      <c r="J632" s="116"/>
      <c r="K632" s="19" t="s">
        <v>21</v>
      </c>
      <c r="L632" s="19" t="s">
        <v>20</v>
      </c>
      <c r="M632" s="19" t="s">
        <v>40</v>
      </c>
      <c r="N632" s="19" t="s">
        <v>32</v>
      </c>
      <c r="O632" s="19" t="s">
        <v>22</v>
      </c>
      <c r="P632" s="51" t="s">
        <v>34</v>
      </c>
      <c r="Q632" s="20" t="s">
        <v>35</v>
      </c>
      <c r="R632" s="63" t="s">
        <v>39</v>
      </c>
      <c r="S632" s="91" t="s">
        <v>43</v>
      </c>
      <c r="T632" s="91" t="s">
        <v>44</v>
      </c>
      <c r="V632" s="104" t="s">
        <v>48</v>
      </c>
      <c r="W632" s="105" t="s">
        <v>49</v>
      </c>
      <c r="X632" s="106" t="s">
        <v>50</v>
      </c>
    </row>
    <row r="633" spans="2:24" x14ac:dyDescent="0.3">
      <c r="B633" s="3" t="s">
        <v>0</v>
      </c>
      <c r="C633" s="1">
        <v>23384</v>
      </c>
      <c r="D633" s="14">
        <v>14.45</v>
      </c>
      <c r="E633" s="1">
        <v>17898</v>
      </c>
      <c r="F633" s="1">
        <v>1919</v>
      </c>
      <c r="G633" s="1">
        <v>559794</v>
      </c>
      <c r="H633" s="118">
        <f>C633-E633-F633</f>
        <v>3567</v>
      </c>
      <c r="I633" s="117"/>
      <c r="J633" s="117"/>
      <c r="K633" s="114">
        <f t="shared" ref="K633:K644" si="564">G633/D633</f>
        <v>38740.069204152249</v>
      </c>
      <c r="L633" s="21">
        <f t="shared" ref="L633:L644" si="565">C633/D633</f>
        <v>1618.2698961937717</v>
      </c>
      <c r="M633" s="31">
        <f>(H633-H619)/H619</f>
        <v>4.4509516837481701E-2</v>
      </c>
      <c r="N633" s="31">
        <f>F633/(E633+F633)</f>
        <v>9.6836049856184089E-2</v>
      </c>
      <c r="O633" s="43">
        <f>F633/D633</f>
        <v>132.80276816608998</v>
      </c>
      <c r="P633" s="49">
        <f>F633/C633</f>
        <v>8.206465959630517E-2</v>
      </c>
      <c r="Q633" s="47">
        <f>(C633-E633-F633)/D633</f>
        <v>246.85121107266437</v>
      </c>
      <c r="R633" s="66">
        <f>G633/H633</f>
        <v>156.93692178301094</v>
      </c>
      <c r="S633" s="92">
        <f>(C633-C619)/D633</f>
        <v>29.550173010380625</v>
      </c>
      <c r="T633" s="93">
        <f>(F633-F619)/D633</f>
        <v>1.0380622837370244</v>
      </c>
      <c r="V633" s="101" t="str">
        <f>B633</f>
        <v>ON</v>
      </c>
      <c r="W633" s="102">
        <f>L633/180+IFERROR((D633*C633*13)/(F633*F633),500)</f>
        <v>10.183222429531503</v>
      </c>
      <c r="X633" s="103">
        <f>L633/75000*K$643/K633</f>
        <v>2.0504302760612776E-2</v>
      </c>
    </row>
    <row r="634" spans="2:24" x14ac:dyDescent="0.3">
      <c r="B634" s="5" t="s">
        <v>1</v>
      </c>
      <c r="C634" s="1">
        <v>44197</v>
      </c>
      <c r="D634" s="14">
        <v>8.43</v>
      </c>
      <c r="E634" s="1">
        <v>12497</v>
      </c>
      <c r="F634" s="1">
        <v>3647</v>
      </c>
      <c r="G634" s="1">
        <v>336412</v>
      </c>
      <c r="H634" s="118">
        <f t="shared" ref="H634:H644" si="566">C634-E634-F634</f>
        <v>28053</v>
      </c>
      <c r="I634" s="117"/>
      <c r="J634" s="117"/>
      <c r="K634" s="114">
        <f t="shared" si="564"/>
        <v>39906.524317912219</v>
      </c>
      <c r="L634" s="21">
        <f t="shared" si="565"/>
        <v>5242.8232502965602</v>
      </c>
      <c r="M634" s="31">
        <f t="shared" ref="M634:M639" si="567">(H634-H620)/H620</f>
        <v>2.3940541699421138E-3</v>
      </c>
      <c r="N634" s="31">
        <f t="shared" ref="N634:N644" si="568">F634/(E634+F634)</f>
        <v>0.22590436075322101</v>
      </c>
      <c r="O634" s="43">
        <f t="shared" ref="O634:O642" si="569">F634/D634</f>
        <v>432.62158956109135</v>
      </c>
      <c r="P634" s="49">
        <f t="shared" ref="P634:P644" si="570">F634/C634</f>
        <v>8.2516912912641127E-2</v>
      </c>
      <c r="Q634" s="47">
        <f t="shared" ref="Q634:Q644" si="571">(C634-E634-F634)/D634</f>
        <v>3327.758007117438</v>
      </c>
      <c r="R634" s="66">
        <f t="shared" ref="R634:R639" si="572">G634/H634</f>
        <v>11.99201511424803</v>
      </c>
      <c r="S634" s="92">
        <f t="shared" ref="S634:S644" si="573">(C634-C620)/D634</f>
        <v>67.615658362989322</v>
      </c>
      <c r="T634" s="93">
        <f t="shared" ref="T634:T644" si="574">(F634-F620)/D634</f>
        <v>6.04982206405694</v>
      </c>
      <c r="V634" s="98" t="str">
        <f t="shared" ref="V634:V644" si="575">B634</f>
        <v>QC</v>
      </c>
      <c r="W634" s="102">
        <f t="shared" ref="W634:W644" si="576">L634/180+IFERROR((D634*C634*13)/(F634*F634),500)</f>
        <v>29.490955794122609</v>
      </c>
      <c r="X634" s="103">
        <f t="shared" ref="X634:X644" si="577">L634/75000*K$643/K634</f>
        <v>6.4487531831535855E-2</v>
      </c>
    </row>
    <row r="635" spans="2:24" x14ac:dyDescent="0.3">
      <c r="B635" s="5" t="s">
        <v>2</v>
      </c>
      <c r="C635" s="1">
        <v>2446</v>
      </c>
      <c r="D635" s="14">
        <v>5.0199999999999996</v>
      </c>
      <c r="E635" s="1">
        <v>1975</v>
      </c>
      <c r="F635" s="1">
        <v>146</v>
      </c>
      <c r="G635" s="95">
        <v>118335</v>
      </c>
      <c r="H635" s="118">
        <f t="shared" si="566"/>
        <v>325</v>
      </c>
      <c r="I635" s="117"/>
      <c r="J635" s="117"/>
      <c r="K635" s="114">
        <f t="shared" si="564"/>
        <v>23572.709163346615</v>
      </c>
      <c r="L635" s="21">
        <f t="shared" si="565"/>
        <v>487.25099601593632</v>
      </c>
      <c r="M635" s="31">
        <f t="shared" si="567"/>
        <v>-2.9850746268656716E-2</v>
      </c>
      <c r="N635" s="31">
        <f t="shared" si="568"/>
        <v>6.883545497406883E-2</v>
      </c>
      <c r="O635" s="43">
        <f t="shared" si="569"/>
        <v>29.083665338645421</v>
      </c>
      <c r="P635" s="49">
        <f t="shared" si="570"/>
        <v>5.9689288634505316E-2</v>
      </c>
      <c r="Q635" s="47">
        <f t="shared" si="571"/>
        <v>64.741035856573717</v>
      </c>
      <c r="R635" s="66">
        <f t="shared" si="572"/>
        <v>364.10769230769233</v>
      </c>
      <c r="S635" s="92">
        <f t="shared" si="573"/>
        <v>0.39840637450199207</v>
      </c>
      <c r="T635" s="93">
        <f t="shared" si="574"/>
        <v>0.59760956175298807</v>
      </c>
      <c r="V635" s="98" t="str">
        <f t="shared" si="575"/>
        <v>BC</v>
      </c>
      <c r="W635" s="102">
        <f t="shared" si="576"/>
        <v>10.195501300816208</v>
      </c>
      <c r="X635" s="103">
        <f t="shared" si="577"/>
        <v>1.0146065937938542E-2</v>
      </c>
    </row>
    <row r="636" spans="2:24" x14ac:dyDescent="0.3">
      <c r="B636" s="5" t="s">
        <v>3</v>
      </c>
      <c r="C636" s="1">
        <v>6716</v>
      </c>
      <c r="D636" s="14">
        <v>4.34</v>
      </c>
      <c r="E636" s="1">
        <v>5584</v>
      </c>
      <c r="F636" s="1">
        <v>128</v>
      </c>
      <c r="G636" s="1">
        <v>218964</v>
      </c>
      <c r="H636" s="118">
        <f t="shared" si="566"/>
        <v>1004</v>
      </c>
      <c r="I636" s="117"/>
      <c r="J636" s="117"/>
      <c r="K636" s="114">
        <f t="shared" si="564"/>
        <v>50452.534562211986</v>
      </c>
      <c r="L636" s="21">
        <f t="shared" si="565"/>
        <v>1547.4654377880186</v>
      </c>
      <c r="M636" s="31">
        <f t="shared" si="567"/>
        <v>-3.0888030888030889E-2</v>
      </c>
      <c r="N636" s="31">
        <f t="shared" si="568"/>
        <v>2.2408963585434174E-2</v>
      </c>
      <c r="O636" s="43">
        <f t="shared" si="569"/>
        <v>29.493087557603687</v>
      </c>
      <c r="P636" s="49">
        <f t="shared" si="570"/>
        <v>1.9058963668850508E-2</v>
      </c>
      <c r="Q636" s="47">
        <f t="shared" si="571"/>
        <v>231.33640552995394</v>
      </c>
      <c r="R636" s="66">
        <f t="shared" si="572"/>
        <v>218.09163346613545</v>
      </c>
      <c r="S636" s="92">
        <f t="shared" si="573"/>
        <v>7.6036866359447011</v>
      </c>
      <c r="T636" s="93">
        <f t="shared" si="574"/>
        <v>0</v>
      </c>
      <c r="V636" s="98" t="str">
        <f t="shared" si="575"/>
        <v>AL</v>
      </c>
      <c r="W636" s="102">
        <f t="shared" si="576"/>
        <v>31.724271420870934</v>
      </c>
      <c r="X636" s="103">
        <f t="shared" si="577"/>
        <v>1.5055403938935652E-2</v>
      </c>
    </row>
    <row r="637" spans="2:24" x14ac:dyDescent="0.3">
      <c r="B637" s="5" t="s">
        <v>4</v>
      </c>
      <c r="C637" s="1">
        <v>290</v>
      </c>
      <c r="D637" s="14">
        <v>1.36</v>
      </c>
      <c r="E637" s="1">
        <v>257</v>
      </c>
      <c r="F637" s="1">
        <v>7</v>
      </c>
      <c r="G637" s="1">
        <v>35578</v>
      </c>
      <c r="H637" s="118">
        <f t="shared" si="566"/>
        <v>26</v>
      </c>
      <c r="I637" s="117"/>
      <c r="J637" s="117"/>
      <c r="K637" s="114">
        <f t="shared" si="564"/>
        <v>26160.294117647056</v>
      </c>
      <c r="L637" s="21">
        <f t="shared" si="565"/>
        <v>213.23529411764704</v>
      </c>
      <c r="M637" s="31">
        <f t="shared" si="567"/>
        <v>0</v>
      </c>
      <c r="N637" s="31">
        <f t="shared" si="568"/>
        <v>2.6515151515151516E-2</v>
      </c>
      <c r="O637" s="43">
        <f t="shared" si="569"/>
        <v>5.1470588235294112</v>
      </c>
      <c r="P637" s="49">
        <f t="shared" si="570"/>
        <v>2.4137931034482758E-2</v>
      </c>
      <c r="Q637" s="47">
        <f t="shared" si="571"/>
        <v>19.117647058823529</v>
      </c>
      <c r="R637" s="66">
        <f t="shared" si="572"/>
        <v>1368.3846153846155</v>
      </c>
      <c r="S637" s="92">
        <f t="shared" si="573"/>
        <v>0</v>
      </c>
      <c r="T637" s="93">
        <f t="shared" si="574"/>
        <v>0</v>
      </c>
      <c r="V637" s="98" t="str">
        <f t="shared" si="575"/>
        <v>MA</v>
      </c>
      <c r="W637" s="102">
        <f t="shared" si="576"/>
        <v>105.82137521675338</v>
      </c>
      <c r="X637" s="103">
        <f t="shared" si="577"/>
        <v>4.0010217287039683E-3</v>
      </c>
    </row>
    <row r="638" spans="2:24" x14ac:dyDescent="0.3">
      <c r="B638" s="5" t="s">
        <v>5</v>
      </c>
      <c r="C638" s="1">
        <v>599</v>
      </c>
      <c r="D638" s="14">
        <v>1.17</v>
      </c>
      <c r="E638" s="1">
        <v>470</v>
      </c>
      <c r="F638" s="1">
        <v>6</v>
      </c>
      <c r="G638" s="1">
        <v>41606</v>
      </c>
      <c r="H638" s="118">
        <f t="shared" si="566"/>
        <v>123</v>
      </c>
      <c r="I638" s="117"/>
      <c r="J638" s="117"/>
      <c r="K638" s="114">
        <f t="shared" si="564"/>
        <v>35560.683760683765</v>
      </c>
      <c r="L638" s="21">
        <f t="shared" si="565"/>
        <v>511.96581196581201</v>
      </c>
      <c r="M638" s="31">
        <f t="shared" si="567"/>
        <v>-6.1068702290076333E-2</v>
      </c>
      <c r="N638" s="31">
        <f t="shared" si="568"/>
        <v>1.2605042016806723E-2</v>
      </c>
      <c r="O638" s="43">
        <f t="shared" si="569"/>
        <v>5.1282051282051286</v>
      </c>
      <c r="P638" s="49">
        <f t="shared" si="570"/>
        <v>1.001669449081803E-2</v>
      </c>
      <c r="Q638" s="47">
        <f t="shared" si="571"/>
        <v>105.12820512820514</v>
      </c>
      <c r="R638" s="66">
        <f t="shared" si="572"/>
        <v>338.26016260162601</v>
      </c>
      <c r="S638" s="92">
        <f t="shared" si="573"/>
        <v>5.982905982905983</v>
      </c>
      <c r="T638" s="93">
        <f t="shared" si="574"/>
        <v>0</v>
      </c>
      <c r="V638" s="98" t="str">
        <f t="shared" si="575"/>
        <v>SA</v>
      </c>
      <c r="W638" s="102">
        <f t="shared" si="576"/>
        <v>255.92175451092118</v>
      </c>
      <c r="X638" s="103">
        <f t="shared" si="577"/>
        <v>7.0668406817347316E-3</v>
      </c>
    </row>
    <row r="639" spans="2:24" x14ac:dyDescent="0.3">
      <c r="B639" s="5" t="s">
        <v>6</v>
      </c>
      <c r="C639" s="1">
        <v>1044</v>
      </c>
      <c r="D639" s="14">
        <v>0.96499999999999997</v>
      </c>
      <c r="E639" s="1">
        <v>956</v>
      </c>
      <c r="F639" s="1">
        <v>56</v>
      </c>
      <c r="G639" s="1">
        <f>36348+C639</f>
        <v>37392</v>
      </c>
      <c r="H639" s="118">
        <f t="shared" si="566"/>
        <v>32</v>
      </c>
      <c r="I639" s="117"/>
      <c r="J639" s="117"/>
      <c r="K639" s="114">
        <f t="shared" si="564"/>
        <v>38748.186528497412</v>
      </c>
      <c r="L639" s="21">
        <f t="shared" si="565"/>
        <v>1081.8652849740934</v>
      </c>
      <c r="M639" s="31">
        <f t="shared" si="567"/>
        <v>-0.23809523809523808</v>
      </c>
      <c r="N639" s="31">
        <f t="shared" si="568"/>
        <v>5.533596837944664E-2</v>
      </c>
      <c r="O639" s="43">
        <f t="shared" si="569"/>
        <v>58.031088082901555</v>
      </c>
      <c r="P639" s="49">
        <f t="shared" si="570"/>
        <v>5.3639846743295021E-2</v>
      </c>
      <c r="Q639" s="47">
        <f t="shared" si="571"/>
        <v>33.160621761658035</v>
      </c>
      <c r="R639" s="66">
        <f t="shared" si="572"/>
        <v>1168.5</v>
      </c>
      <c r="S639" s="92">
        <f t="shared" si="573"/>
        <v>1.0362694300518136</v>
      </c>
      <c r="T639" s="93">
        <f t="shared" si="574"/>
        <v>1.0362694300518136</v>
      </c>
      <c r="V639" s="98" t="str">
        <f t="shared" si="575"/>
        <v>NS</v>
      </c>
      <c r="W639" s="102">
        <f t="shared" si="576"/>
        <v>10.186695602463784</v>
      </c>
      <c r="X639" s="103">
        <f t="shared" si="577"/>
        <v>1.3704911848250621E-2</v>
      </c>
    </row>
    <row r="640" spans="2:24" x14ac:dyDescent="0.3">
      <c r="B640" s="5" t="s">
        <v>7</v>
      </c>
      <c r="C640" s="1">
        <v>120</v>
      </c>
      <c r="D640" s="14">
        <v>0.77200000000000002</v>
      </c>
      <c r="E640" s="1">
        <v>120</v>
      </c>
      <c r="F640" s="1">
        <v>0</v>
      </c>
      <c r="G640" s="1">
        <v>20791</v>
      </c>
      <c r="H640" s="118">
        <f t="shared" si="566"/>
        <v>0</v>
      </c>
      <c r="I640" s="117"/>
      <c r="J640" s="117"/>
      <c r="K640" s="114">
        <f t="shared" si="564"/>
        <v>26931.347150259066</v>
      </c>
      <c r="L640" s="21">
        <f t="shared" si="565"/>
        <v>155.440414507772</v>
      </c>
      <c r="M640" s="31">
        <v>0</v>
      </c>
      <c r="N640" s="31">
        <f t="shared" si="568"/>
        <v>0</v>
      </c>
      <c r="O640" s="43">
        <f t="shared" si="569"/>
        <v>0</v>
      </c>
      <c r="P640" s="49">
        <f t="shared" si="570"/>
        <v>0</v>
      </c>
      <c r="Q640" s="47">
        <f t="shared" si="571"/>
        <v>0</v>
      </c>
      <c r="R640" s="66">
        <f>IFERROR(G640/H640,20000)</f>
        <v>20000</v>
      </c>
      <c r="S640" s="92">
        <f t="shared" si="573"/>
        <v>0</v>
      </c>
      <c r="T640" s="93">
        <f t="shared" si="574"/>
        <v>0</v>
      </c>
      <c r="V640" s="98" t="str">
        <f t="shared" si="575"/>
        <v>NB</v>
      </c>
      <c r="W640" s="102">
        <f t="shared" si="576"/>
        <v>500.86355785837651</v>
      </c>
      <c r="X640" s="103">
        <f t="shared" si="577"/>
        <v>2.8330896040328415E-3</v>
      </c>
    </row>
    <row r="641" spans="2:25" x14ac:dyDescent="0.3">
      <c r="B641" s="5" t="s">
        <v>18</v>
      </c>
      <c r="C641" s="9">
        <v>27</v>
      </c>
      <c r="D641" s="15">
        <v>0.154</v>
      </c>
      <c r="E641" s="9">
        <v>27</v>
      </c>
      <c r="F641" s="9">
        <v>0</v>
      </c>
      <c r="G641" s="9">
        <v>4596</v>
      </c>
      <c r="H641" s="118">
        <f t="shared" si="566"/>
        <v>0</v>
      </c>
      <c r="I641" s="117"/>
      <c r="J641" s="117"/>
      <c r="K641" s="115">
        <f t="shared" si="564"/>
        <v>29844.155844155845</v>
      </c>
      <c r="L641" s="22">
        <f t="shared" si="565"/>
        <v>175.32467532467533</v>
      </c>
      <c r="M641" s="31">
        <v>0</v>
      </c>
      <c r="N641" s="31">
        <f t="shared" si="568"/>
        <v>0</v>
      </c>
      <c r="O641" s="44">
        <f t="shared" si="569"/>
        <v>0</v>
      </c>
      <c r="P641" s="49">
        <f t="shared" si="570"/>
        <v>0</v>
      </c>
      <c r="Q641" s="47">
        <f t="shared" si="571"/>
        <v>0</v>
      </c>
      <c r="R641" s="66">
        <f>IFERROR(G641/H641,20000)</f>
        <v>20000</v>
      </c>
      <c r="S641" s="92">
        <f t="shared" si="573"/>
        <v>0</v>
      </c>
      <c r="T641" s="93">
        <f t="shared" si="574"/>
        <v>0</v>
      </c>
      <c r="V641" s="98" t="str">
        <f t="shared" si="575"/>
        <v>PEI</v>
      </c>
      <c r="W641" s="102">
        <f t="shared" si="576"/>
        <v>500.97402597402595</v>
      </c>
      <c r="X641" s="103">
        <f t="shared" si="577"/>
        <v>2.8836210488306204E-3</v>
      </c>
    </row>
    <row r="642" spans="2:25" ht="15" thickBot="1" x14ac:dyDescent="0.35">
      <c r="B642" s="5" t="s">
        <v>11</v>
      </c>
      <c r="C642" s="9">
        <v>260</v>
      </c>
      <c r="D642" s="15">
        <v>0.52400000000000002</v>
      </c>
      <c r="E642" s="9">
        <v>250</v>
      </c>
      <c r="F642" s="9">
        <v>3</v>
      </c>
      <c r="G642" s="9">
        <v>10747</v>
      </c>
      <c r="H642" s="119">
        <f t="shared" si="566"/>
        <v>7</v>
      </c>
      <c r="I642" s="117"/>
      <c r="J642" s="117"/>
      <c r="K642" s="115">
        <f t="shared" si="564"/>
        <v>20509.541984732823</v>
      </c>
      <c r="L642" s="22">
        <f t="shared" si="565"/>
        <v>496.18320610687022</v>
      </c>
      <c r="M642" s="31">
        <f>(H642-H628)/H628</f>
        <v>-0.125</v>
      </c>
      <c r="N642" s="32">
        <f t="shared" si="568"/>
        <v>1.1857707509881422E-2</v>
      </c>
      <c r="O642" s="44">
        <f t="shared" si="569"/>
        <v>5.7251908396946565</v>
      </c>
      <c r="P642" s="50">
        <f t="shared" si="570"/>
        <v>1.1538461538461539E-2</v>
      </c>
      <c r="Q642" s="48">
        <f t="shared" si="571"/>
        <v>13.358778625954198</v>
      </c>
      <c r="R642" s="67">
        <f>G642/H642</f>
        <v>1535.2857142857142</v>
      </c>
      <c r="S642" s="92">
        <f t="shared" si="573"/>
        <v>0</v>
      </c>
      <c r="T642" s="93">
        <f t="shared" si="574"/>
        <v>0</v>
      </c>
      <c r="V642" s="99" t="str">
        <f t="shared" si="575"/>
        <v>NFLD</v>
      </c>
      <c r="W642" s="120">
        <f t="shared" si="576"/>
        <v>199.54768447837151</v>
      </c>
      <c r="X642" s="121">
        <f t="shared" si="577"/>
        <v>1.1875189315573471E-2</v>
      </c>
    </row>
    <row r="643" spans="2:25" ht="15" thickBot="1" x14ac:dyDescent="0.35">
      <c r="B643" s="11" t="s">
        <v>10</v>
      </c>
      <c r="C643" s="12">
        <v>79112</v>
      </c>
      <c r="D643" s="16">
        <v>37.6</v>
      </c>
      <c r="E643" s="12">
        <v>40050</v>
      </c>
      <c r="F643" s="12">
        <v>5912</v>
      </c>
      <c r="G643" s="12">
        <f>SUM(G633:G642)</f>
        <v>1384215</v>
      </c>
      <c r="H643" s="81">
        <f t="shared" si="566"/>
        <v>33150</v>
      </c>
      <c r="I643" s="117"/>
      <c r="J643" s="117"/>
      <c r="K643" s="77">
        <f t="shared" si="564"/>
        <v>36814.228723404252</v>
      </c>
      <c r="L643" s="23">
        <f t="shared" si="565"/>
        <v>2104.0425531914893</v>
      </c>
      <c r="M643" s="31">
        <f>(H643-H629)/H629</f>
        <v>4.4845766923216771E-3</v>
      </c>
      <c r="N643" s="33">
        <f t="shared" si="568"/>
        <v>0.12862799704103389</v>
      </c>
      <c r="O643" s="45">
        <f>F643/D643</f>
        <v>157.23404255319147</v>
      </c>
      <c r="P643" s="53">
        <f t="shared" si="570"/>
        <v>7.4729497421377286E-2</v>
      </c>
      <c r="Q643" s="55">
        <f t="shared" si="571"/>
        <v>881.64893617021278</v>
      </c>
      <c r="R643" s="74">
        <f>G643/H643</f>
        <v>41.756108597285071</v>
      </c>
      <c r="S643" s="92">
        <f t="shared" si="573"/>
        <v>27.659574468085104</v>
      </c>
      <c r="T643" s="93">
        <f t="shared" si="574"/>
        <v>1.8617021276595744</v>
      </c>
      <c r="V643" s="108" t="str">
        <f t="shared" si="575"/>
        <v>Canada</v>
      </c>
      <c r="W643" s="109">
        <f t="shared" si="576"/>
        <v>12.795506298985526</v>
      </c>
      <c r="X643" s="110">
        <f t="shared" si="577"/>
        <v>2.8053900709219856E-2</v>
      </c>
    </row>
    <row r="644" spans="2:25" ht="15" thickBot="1" x14ac:dyDescent="0.35">
      <c r="B644" s="6" t="s">
        <v>9</v>
      </c>
      <c r="C644" s="7">
        <v>1565921</v>
      </c>
      <c r="D644" s="7">
        <v>327</v>
      </c>
      <c r="E644" s="7">
        <v>361981</v>
      </c>
      <c r="F644" s="7">
        <v>93296</v>
      </c>
      <c r="G644" s="7">
        <v>12567868</v>
      </c>
      <c r="H644" s="82">
        <f t="shared" si="566"/>
        <v>1110644</v>
      </c>
      <c r="I644" s="117"/>
      <c r="J644" s="117"/>
      <c r="K644" s="78">
        <f t="shared" si="564"/>
        <v>38433.847094801225</v>
      </c>
      <c r="L644" s="24">
        <f t="shared" si="565"/>
        <v>4788.7492354740061</v>
      </c>
      <c r="M644" s="31">
        <f>(H644-H630)/H630</f>
        <v>9.946294736956969E-3</v>
      </c>
      <c r="N644" s="33">
        <f t="shared" si="568"/>
        <v>0.20492139949964527</v>
      </c>
      <c r="O644" s="46">
        <f>F644/D644</f>
        <v>285.30886850152905</v>
      </c>
      <c r="P644" s="52">
        <f t="shared" si="570"/>
        <v>5.9578995364389389E-2</v>
      </c>
      <c r="Q644" s="54">
        <f t="shared" si="571"/>
        <v>3396.4648318042814</v>
      </c>
      <c r="R644" s="72">
        <f>G644/H644</f>
        <v>11.315838378454302</v>
      </c>
      <c r="S644" s="92">
        <f t="shared" si="573"/>
        <v>69.941896024464839</v>
      </c>
      <c r="T644" s="93">
        <f t="shared" si="574"/>
        <v>5.1773700305810397</v>
      </c>
      <c r="V644" s="108" t="str">
        <f t="shared" si="575"/>
        <v>USA</v>
      </c>
      <c r="W644" s="109">
        <f t="shared" si="576"/>
        <v>27.368939571961391</v>
      </c>
      <c r="X644" s="110">
        <f t="shared" si="577"/>
        <v>6.1159324564072866E-2</v>
      </c>
    </row>
    <row r="645" spans="2:25" ht="15" thickBot="1" x14ac:dyDescent="0.35"/>
    <row r="646" spans="2:25" ht="29.4" thickBot="1" x14ac:dyDescent="0.35">
      <c r="B646" s="96">
        <v>43952</v>
      </c>
      <c r="C646" s="18" t="s">
        <v>8</v>
      </c>
      <c r="D646" s="19" t="s">
        <v>17</v>
      </c>
      <c r="E646" s="19" t="s">
        <v>15</v>
      </c>
      <c r="F646" s="19" t="s">
        <v>16</v>
      </c>
      <c r="G646" s="19" t="s">
        <v>14</v>
      </c>
      <c r="H646" s="20" t="s">
        <v>38</v>
      </c>
      <c r="I646" s="116"/>
      <c r="J646" s="116"/>
      <c r="K646" s="19" t="s">
        <v>21</v>
      </c>
      <c r="L646" s="19" t="s">
        <v>20</v>
      </c>
      <c r="M646" s="19" t="s">
        <v>40</v>
      </c>
      <c r="N646" s="19" t="s">
        <v>32</v>
      </c>
      <c r="O646" s="19" t="s">
        <v>22</v>
      </c>
      <c r="P646" s="51" t="s">
        <v>34</v>
      </c>
      <c r="Q646" s="20" t="s">
        <v>35</v>
      </c>
      <c r="R646" s="63" t="s">
        <v>39</v>
      </c>
      <c r="S646" s="91" t="s">
        <v>43</v>
      </c>
      <c r="T646" s="91" t="s">
        <v>44</v>
      </c>
      <c r="V646" s="104" t="s">
        <v>48</v>
      </c>
      <c r="W646" s="105" t="s">
        <v>49</v>
      </c>
      <c r="X646" s="106" t="s">
        <v>50</v>
      </c>
      <c r="Y646" s="61" t="s">
        <v>52</v>
      </c>
    </row>
    <row r="647" spans="2:25" x14ac:dyDescent="0.3">
      <c r="B647" s="3" t="s">
        <v>0</v>
      </c>
      <c r="C647" s="1">
        <v>23774</v>
      </c>
      <c r="D647" s="14">
        <v>14.45</v>
      </c>
      <c r="E647" s="1">
        <v>18190</v>
      </c>
      <c r="F647" s="1">
        <v>1962</v>
      </c>
      <c r="G647" s="1">
        <v>567176</v>
      </c>
      <c r="H647" s="118">
        <f>C647-E647-F647</f>
        <v>3622</v>
      </c>
      <c r="I647" s="117"/>
      <c r="J647" s="117"/>
      <c r="K647" s="114">
        <f t="shared" ref="K647:K658" si="578">G647/D647</f>
        <v>39250.934256055363</v>
      </c>
      <c r="L647" s="21">
        <f t="shared" ref="L647:L658" si="579">C647/D647</f>
        <v>1645.2595155709344</v>
      </c>
      <c r="M647" s="31">
        <f>(H647-H633)/H633</f>
        <v>1.5419119708438464E-2</v>
      </c>
      <c r="N647" s="31">
        <f>F647/(E647+F647)</f>
        <v>9.7360063517268752E-2</v>
      </c>
      <c r="O647" s="43">
        <f>F647/D647</f>
        <v>135.77854671280278</v>
      </c>
      <c r="P647" s="49">
        <f>F647/C647</f>
        <v>8.2527130478674188E-2</v>
      </c>
      <c r="Q647" s="47">
        <f>(C647-E647-F647)/D647</f>
        <v>250.65743944636679</v>
      </c>
      <c r="R647" s="66">
        <f>G647/H647</f>
        <v>156.59193815571507</v>
      </c>
      <c r="S647" s="92">
        <f>(C647-C633)/D647</f>
        <v>26.989619377162629</v>
      </c>
      <c r="T647" s="93">
        <f>(F647-F633)/D647</f>
        <v>2.9757785467128031</v>
      </c>
      <c r="V647" s="101" t="str">
        <f>B647</f>
        <v>ON</v>
      </c>
      <c r="W647" s="102">
        <f>L647/180+IFERROR((D647*C647*13)/(F647*F647),500)</f>
        <v>10.300484134357296</v>
      </c>
      <c r="X647" s="103">
        <f>L647/75000*K$657/K647</f>
        <v>2.1055386961576564E-2</v>
      </c>
      <c r="Y647" s="122">
        <f>(E647+F647)/C647</f>
        <v>0.84764869184823755</v>
      </c>
    </row>
    <row r="648" spans="2:25" x14ac:dyDescent="0.3">
      <c r="B648" s="5" t="s">
        <v>1</v>
      </c>
      <c r="C648" s="1">
        <v>44775</v>
      </c>
      <c r="D648" s="14">
        <v>8.43</v>
      </c>
      <c r="E648" s="1">
        <v>12822</v>
      </c>
      <c r="F648" s="1">
        <v>3718</v>
      </c>
      <c r="G648" s="1">
        <v>349531</v>
      </c>
      <c r="H648" s="118">
        <f t="shared" ref="H648:H658" si="580">C648-E648-F648</f>
        <v>28235</v>
      </c>
      <c r="I648" s="117"/>
      <c r="J648" s="117"/>
      <c r="K648" s="114">
        <f t="shared" si="578"/>
        <v>41462.752075919336</v>
      </c>
      <c r="L648" s="21">
        <f t="shared" si="579"/>
        <v>5311.3879003558723</v>
      </c>
      <c r="M648" s="31">
        <f t="shared" ref="M648:M653" si="581">(H648-H634)/H634</f>
        <v>6.4877196734752073E-3</v>
      </c>
      <c r="N648" s="31">
        <f t="shared" ref="N648:N658" si="582">F648/(E648+F648)</f>
        <v>0.22478839177750906</v>
      </c>
      <c r="O648" s="43">
        <f t="shared" ref="O648:O656" si="583">F648/D648</f>
        <v>441.04389086595495</v>
      </c>
      <c r="P648" s="49">
        <f t="shared" ref="P648:P658" si="584">F648/C648</f>
        <v>8.3037409268565052E-2</v>
      </c>
      <c r="Q648" s="47">
        <f t="shared" ref="Q648:Q658" si="585">(C648-E648-F648)/D648</f>
        <v>3349.3475682087783</v>
      </c>
      <c r="R648" s="66">
        <f t="shared" ref="R648:R653" si="586">G648/H648</f>
        <v>12.379351868248628</v>
      </c>
      <c r="S648" s="92">
        <f t="shared" ref="S648:S658" si="587">(C648-C634)/D648</f>
        <v>68.564650059311987</v>
      </c>
      <c r="T648" s="93">
        <f t="shared" ref="T648:T658" si="588">(F648-F634)/D648</f>
        <v>8.4223013048635824</v>
      </c>
      <c r="V648" s="98" t="str">
        <f t="shared" ref="V648:V658" si="589">B648</f>
        <v>QC</v>
      </c>
      <c r="W648" s="102">
        <f t="shared" ref="W648:W658" si="590">L648/180+IFERROR((D648*C648*13)/(F648*F648),500)</f>
        <v>29.86267736990261</v>
      </c>
      <c r="X648" s="103">
        <f t="shared" ref="X648:X658" si="591">L648/75000*K$657/K648</f>
        <v>6.4347060090916966E-2</v>
      </c>
      <c r="Y648" s="122">
        <f t="shared" ref="Y648:Y658" si="592">(E648+F648)/C648</f>
        <v>0.36940256839754326</v>
      </c>
    </row>
    <row r="649" spans="2:25" x14ac:dyDescent="0.3">
      <c r="B649" s="5" t="s">
        <v>2</v>
      </c>
      <c r="C649" s="1">
        <v>2467</v>
      </c>
      <c r="D649" s="14">
        <v>5.0199999999999996</v>
      </c>
      <c r="E649" s="1">
        <v>1975</v>
      </c>
      <c r="F649" s="1">
        <v>149</v>
      </c>
      <c r="G649" s="95">
        <v>126236</v>
      </c>
      <c r="H649" s="118">
        <f t="shared" si="580"/>
        <v>343</v>
      </c>
      <c r="I649" s="117"/>
      <c r="J649" s="117"/>
      <c r="K649" s="114">
        <f t="shared" si="578"/>
        <v>25146.613545816734</v>
      </c>
      <c r="L649" s="21">
        <f t="shared" si="579"/>
        <v>491.43426294820722</v>
      </c>
      <c r="M649" s="31">
        <f t="shared" si="581"/>
        <v>5.5384615384615386E-2</v>
      </c>
      <c r="N649" s="31">
        <f t="shared" si="582"/>
        <v>7.0150659133709978E-2</v>
      </c>
      <c r="O649" s="43">
        <f t="shared" si="583"/>
        <v>29.68127490039841</v>
      </c>
      <c r="P649" s="49">
        <f t="shared" si="584"/>
        <v>6.0397243615727604E-2</v>
      </c>
      <c r="Q649" s="47">
        <f t="shared" si="585"/>
        <v>68.326693227091639</v>
      </c>
      <c r="R649" s="66">
        <f t="shared" si="586"/>
        <v>368.03498542274053</v>
      </c>
      <c r="S649" s="92">
        <f t="shared" si="587"/>
        <v>4.1832669322709171</v>
      </c>
      <c r="T649" s="93">
        <f t="shared" si="588"/>
        <v>0.59760956175298807</v>
      </c>
      <c r="V649" s="98" t="str">
        <f t="shared" si="589"/>
        <v>BC</v>
      </c>
      <c r="W649" s="102">
        <f t="shared" si="590"/>
        <v>9.9819546846521288</v>
      </c>
      <c r="X649" s="103">
        <f t="shared" si="591"/>
        <v>9.8166823723616625E-3</v>
      </c>
      <c r="Y649" s="122">
        <f t="shared" si="592"/>
        <v>0.8609647344953385</v>
      </c>
    </row>
    <row r="650" spans="2:25" x14ac:dyDescent="0.3">
      <c r="B650" s="5" t="s">
        <v>3</v>
      </c>
      <c r="C650" s="1">
        <v>6735</v>
      </c>
      <c r="D650" s="14">
        <v>4.34</v>
      </c>
      <c r="E650" s="1">
        <v>5637</v>
      </c>
      <c r="F650" s="1">
        <v>128</v>
      </c>
      <c r="G650" s="1">
        <v>221571</v>
      </c>
      <c r="H650" s="118">
        <f t="shared" si="580"/>
        <v>970</v>
      </c>
      <c r="I650" s="117"/>
      <c r="J650" s="117"/>
      <c r="K650" s="114">
        <f t="shared" si="578"/>
        <v>51053.225806451614</v>
      </c>
      <c r="L650" s="21">
        <f t="shared" si="579"/>
        <v>1551.8433179723502</v>
      </c>
      <c r="M650" s="31">
        <f t="shared" si="581"/>
        <v>-3.386454183266932E-2</v>
      </c>
      <c r="N650" s="31">
        <f t="shared" si="582"/>
        <v>2.220294882914137E-2</v>
      </c>
      <c r="O650" s="43">
        <f t="shared" si="583"/>
        <v>29.493087557603687</v>
      </c>
      <c r="P650" s="49">
        <f t="shared" si="584"/>
        <v>1.9005196733481812E-2</v>
      </c>
      <c r="Q650" s="47">
        <f t="shared" si="585"/>
        <v>223.50230414746545</v>
      </c>
      <c r="R650" s="66">
        <f t="shared" si="586"/>
        <v>228.42371134020618</v>
      </c>
      <c r="S650" s="92">
        <f t="shared" si="587"/>
        <v>4.3778801843317972</v>
      </c>
      <c r="T650" s="93">
        <f t="shared" si="588"/>
        <v>0</v>
      </c>
      <c r="V650" s="98" t="str">
        <f t="shared" si="589"/>
        <v>AL</v>
      </c>
      <c r="W650" s="102">
        <f t="shared" si="590"/>
        <v>31.81402144424743</v>
      </c>
      <c r="X650" s="103">
        <f t="shared" si="591"/>
        <v>1.5268750437518852E-2</v>
      </c>
      <c r="Y650" s="122">
        <f t="shared" si="592"/>
        <v>0.85597624350408319</v>
      </c>
    </row>
    <row r="651" spans="2:25" x14ac:dyDescent="0.3">
      <c r="B651" s="5" t="s">
        <v>4</v>
      </c>
      <c r="C651" s="1">
        <v>290</v>
      </c>
      <c r="D651" s="14">
        <v>1.36</v>
      </c>
      <c r="E651" s="1">
        <v>260</v>
      </c>
      <c r="F651" s="1">
        <v>7</v>
      </c>
      <c r="G651" s="1">
        <v>35820</v>
      </c>
      <c r="H651" s="118">
        <f t="shared" si="580"/>
        <v>23</v>
      </c>
      <c r="I651" s="117"/>
      <c r="J651" s="117"/>
      <c r="K651" s="114">
        <f t="shared" si="578"/>
        <v>26338.235294117647</v>
      </c>
      <c r="L651" s="21">
        <f t="shared" si="579"/>
        <v>213.23529411764704</v>
      </c>
      <c r="M651" s="31">
        <f t="shared" si="581"/>
        <v>-0.11538461538461539</v>
      </c>
      <c r="N651" s="31">
        <f t="shared" si="582"/>
        <v>2.6217228464419477E-2</v>
      </c>
      <c r="O651" s="43">
        <f t="shared" si="583"/>
        <v>5.1470588235294112</v>
      </c>
      <c r="P651" s="49">
        <f t="shared" si="584"/>
        <v>2.4137931034482758E-2</v>
      </c>
      <c r="Q651" s="47">
        <f t="shared" si="585"/>
        <v>16.911764705882351</v>
      </c>
      <c r="R651" s="66">
        <f t="shared" si="586"/>
        <v>1557.391304347826</v>
      </c>
      <c r="S651" s="92">
        <f t="shared" si="587"/>
        <v>0</v>
      </c>
      <c r="T651" s="93">
        <f t="shared" si="588"/>
        <v>0</v>
      </c>
      <c r="V651" s="98" t="str">
        <f t="shared" si="589"/>
        <v>MA</v>
      </c>
      <c r="W651" s="102">
        <f t="shared" si="590"/>
        <v>105.82137521675338</v>
      </c>
      <c r="X651" s="103">
        <f t="shared" si="591"/>
        <v>4.0667851669695994E-3</v>
      </c>
      <c r="Y651" s="122">
        <f t="shared" si="592"/>
        <v>0.92068965517241375</v>
      </c>
    </row>
    <row r="652" spans="2:25" x14ac:dyDescent="0.3">
      <c r="B652" s="5" t="s">
        <v>5</v>
      </c>
      <c r="C652" s="1">
        <v>620</v>
      </c>
      <c r="D652" s="14">
        <v>1.17</v>
      </c>
      <c r="E652" s="1">
        <v>494</v>
      </c>
      <c r="F652" s="1">
        <v>7</v>
      </c>
      <c r="G652" s="1">
        <v>41951</v>
      </c>
      <c r="H652" s="118">
        <f t="shared" si="580"/>
        <v>119</v>
      </c>
      <c r="I652" s="117"/>
      <c r="J652" s="117"/>
      <c r="K652" s="114">
        <f t="shared" si="578"/>
        <v>35855.555555555555</v>
      </c>
      <c r="L652" s="21">
        <f t="shared" si="579"/>
        <v>529.91452991452991</v>
      </c>
      <c r="M652" s="31">
        <f t="shared" si="581"/>
        <v>-3.2520325203252036E-2</v>
      </c>
      <c r="N652" s="31">
        <f t="shared" si="582"/>
        <v>1.3972055888223553E-2</v>
      </c>
      <c r="O652" s="43">
        <f t="shared" si="583"/>
        <v>5.982905982905983</v>
      </c>
      <c r="P652" s="49">
        <f t="shared" si="584"/>
        <v>1.1290322580645161E-2</v>
      </c>
      <c r="Q652" s="47">
        <f t="shared" si="585"/>
        <v>101.70940170940172</v>
      </c>
      <c r="R652" s="66">
        <f t="shared" si="586"/>
        <v>352.52941176470586</v>
      </c>
      <c r="S652" s="92">
        <f t="shared" si="587"/>
        <v>17.948717948717949</v>
      </c>
      <c r="T652" s="93">
        <f t="shared" si="588"/>
        <v>0.85470085470085477</v>
      </c>
      <c r="V652" s="98" t="str">
        <f t="shared" si="589"/>
        <v>SA</v>
      </c>
      <c r="W652" s="102">
        <f t="shared" si="590"/>
        <v>195.39703083512606</v>
      </c>
      <c r="X652" s="103">
        <f t="shared" si="591"/>
        <v>7.4238328708721478E-3</v>
      </c>
      <c r="Y652" s="122">
        <f t="shared" si="592"/>
        <v>0.8080645161290323</v>
      </c>
    </row>
    <row r="653" spans="2:25" x14ac:dyDescent="0.3">
      <c r="B653" s="5" t="s">
        <v>6</v>
      </c>
      <c r="C653" s="1">
        <v>1045</v>
      </c>
      <c r="D653" s="14">
        <v>0.96499999999999997</v>
      </c>
      <c r="E653" s="1">
        <v>956</v>
      </c>
      <c r="F653" s="1">
        <v>57</v>
      </c>
      <c r="G653" s="1">
        <f>36656+C653</f>
        <v>37701</v>
      </c>
      <c r="H653" s="118">
        <f t="shared" si="580"/>
        <v>32</v>
      </c>
      <c r="I653" s="117"/>
      <c r="J653" s="117"/>
      <c r="K653" s="114">
        <f t="shared" si="578"/>
        <v>39068.39378238342</v>
      </c>
      <c r="L653" s="21">
        <f t="shared" si="579"/>
        <v>1082.9015544041451</v>
      </c>
      <c r="M653" s="31">
        <f t="shared" si="581"/>
        <v>0</v>
      </c>
      <c r="N653" s="31">
        <f t="shared" si="582"/>
        <v>5.6268509378084898E-2</v>
      </c>
      <c r="O653" s="43">
        <f t="shared" si="583"/>
        <v>59.067357512953372</v>
      </c>
      <c r="P653" s="49">
        <f t="shared" si="584"/>
        <v>5.4545454545454543E-2</v>
      </c>
      <c r="Q653" s="47">
        <f t="shared" si="585"/>
        <v>33.160621761658035</v>
      </c>
      <c r="R653" s="66">
        <f t="shared" si="586"/>
        <v>1178.15625</v>
      </c>
      <c r="S653" s="92">
        <f t="shared" si="587"/>
        <v>1.0362694300518136</v>
      </c>
      <c r="T653" s="93">
        <f t="shared" si="588"/>
        <v>1.0362694300518136</v>
      </c>
      <c r="V653" s="98" t="str">
        <f t="shared" si="589"/>
        <v>NS</v>
      </c>
      <c r="W653" s="102">
        <f t="shared" si="590"/>
        <v>10.051061267157532</v>
      </c>
      <c r="X653" s="103">
        <f t="shared" si="591"/>
        <v>1.3923301740966293E-2</v>
      </c>
      <c r="Y653" s="122">
        <f t="shared" si="592"/>
        <v>0.96937799043062201</v>
      </c>
    </row>
    <row r="654" spans="2:25" x14ac:dyDescent="0.3">
      <c r="B654" s="5" t="s">
        <v>7</v>
      </c>
      <c r="C654" s="1">
        <v>120</v>
      </c>
      <c r="D654" s="14">
        <v>0.77200000000000002</v>
      </c>
      <c r="E654" s="1">
        <v>120</v>
      </c>
      <c r="F654" s="1">
        <v>0</v>
      </c>
      <c r="G654" s="1">
        <v>21114</v>
      </c>
      <c r="H654" s="118">
        <f t="shared" si="580"/>
        <v>0</v>
      </c>
      <c r="I654" s="117"/>
      <c r="J654" s="117"/>
      <c r="K654" s="114">
        <f t="shared" si="578"/>
        <v>27349.740932642486</v>
      </c>
      <c r="L654" s="21">
        <f t="shared" si="579"/>
        <v>155.440414507772</v>
      </c>
      <c r="M654" s="31">
        <v>0</v>
      </c>
      <c r="N654" s="31">
        <f t="shared" si="582"/>
        <v>0</v>
      </c>
      <c r="O654" s="43">
        <f t="shared" si="583"/>
        <v>0</v>
      </c>
      <c r="P654" s="49">
        <f t="shared" si="584"/>
        <v>0</v>
      </c>
      <c r="Q654" s="47">
        <f t="shared" si="585"/>
        <v>0</v>
      </c>
      <c r="R654" s="66">
        <f>IFERROR(G654/H654,20000)</f>
        <v>20000</v>
      </c>
      <c r="S654" s="92">
        <f t="shared" si="587"/>
        <v>0</v>
      </c>
      <c r="T654" s="93">
        <f t="shared" si="588"/>
        <v>0</v>
      </c>
      <c r="V654" s="98" t="str">
        <f t="shared" si="589"/>
        <v>NB</v>
      </c>
      <c r="W654" s="102">
        <f t="shared" si="590"/>
        <v>500.86355785837651</v>
      </c>
      <c r="X654" s="103">
        <f t="shared" si="591"/>
        <v>2.8548910776151353E-3</v>
      </c>
      <c r="Y654" s="122">
        <f t="shared" si="592"/>
        <v>1</v>
      </c>
    </row>
    <row r="655" spans="2:25" x14ac:dyDescent="0.3">
      <c r="B655" s="5" t="s">
        <v>18</v>
      </c>
      <c r="C655" s="9">
        <v>27</v>
      </c>
      <c r="D655" s="15">
        <v>0.154</v>
      </c>
      <c r="E655" s="9">
        <v>27</v>
      </c>
      <c r="F655" s="9">
        <v>0</v>
      </c>
      <c r="G655" s="9">
        <v>4596</v>
      </c>
      <c r="H655" s="118">
        <f t="shared" si="580"/>
        <v>0</v>
      </c>
      <c r="I655" s="117"/>
      <c r="J655" s="117"/>
      <c r="K655" s="115">
        <f t="shared" si="578"/>
        <v>29844.155844155845</v>
      </c>
      <c r="L655" s="22">
        <f t="shared" si="579"/>
        <v>175.32467532467533</v>
      </c>
      <c r="M655" s="31">
        <v>0</v>
      </c>
      <c r="N655" s="31">
        <f t="shared" si="582"/>
        <v>0</v>
      </c>
      <c r="O655" s="44">
        <f t="shared" si="583"/>
        <v>0</v>
      </c>
      <c r="P655" s="49">
        <f t="shared" si="584"/>
        <v>0</v>
      </c>
      <c r="Q655" s="47">
        <f t="shared" si="585"/>
        <v>0</v>
      </c>
      <c r="R655" s="66">
        <f>IFERROR(G655/H655,20000)</f>
        <v>20000</v>
      </c>
      <c r="S655" s="92">
        <f t="shared" si="587"/>
        <v>0</v>
      </c>
      <c r="T655" s="93">
        <f t="shared" si="588"/>
        <v>0</v>
      </c>
      <c r="V655" s="98" t="str">
        <f t="shared" si="589"/>
        <v>PEI</v>
      </c>
      <c r="W655" s="102">
        <f t="shared" si="590"/>
        <v>500.97402597402595</v>
      </c>
      <c r="X655" s="103">
        <f t="shared" si="591"/>
        <v>2.9509548080662185E-3</v>
      </c>
      <c r="Y655" s="122">
        <f t="shared" si="592"/>
        <v>1</v>
      </c>
    </row>
    <row r="656" spans="2:25" ht="15" thickBot="1" x14ac:dyDescent="0.35">
      <c r="B656" s="5" t="s">
        <v>11</v>
      </c>
      <c r="C656" s="9">
        <v>260</v>
      </c>
      <c r="D656" s="15">
        <v>0.52400000000000002</v>
      </c>
      <c r="E656" s="9">
        <v>253</v>
      </c>
      <c r="F656" s="9">
        <v>3</v>
      </c>
      <c r="G656" s="9">
        <v>10841</v>
      </c>
      <c r="H656" s="119">
        <f t="shared" si="580"/>
        <v>4</v>
      </c>
      <c r="I656" s="117"/>
      <c r="J656" s="117"/>
      <c r="K656" s="115">
        <f t="shared" si="578"/>
        <v>20688.931297709922</v>
      </c>
      <c r="L656" s="22">
        <f t="shared" si="579"/>
        <v>496.18320610687022</v>
      </c>
      <c r="M656" s="31">
        <f>(H656-H642)/H642</f>
        <v>-0.42857142857142855</v>
      </c>
      <c r="N656" s="32">
        <f t="shared" si="582"/>
        <v>1.171875E-2</v>
      </c>
      <c r="O656" s="44">
        <f t="shared" si="583"/>
        <v>5.7251908396946565</v>
      </c>
      <c r="P656" s="50">
        <f t="shared" si="584"/>
        <v>1.1538461538461539E-2</v>
      </c>
      <c r="Q656" s="48">
        <f t="shared" si="585"/>
        <v>7.6335877862595414</v>
      </c>
      <c r="R656" s="67">
        <f>G656/H656</f>
        <v>2710.25</v>
      </c>
      <c r="S656" s="92">
        <f t="shared" si="587"/>
        <v>0</v>
      </c>
      <c r="T656" s="93">
        <f t="shared" si="588"/>
        <v>0</v>
      </c>
      <c r="V656" s="99" t="str">
        <f t="shared" si="589"/>
        <v>NFLD</v>
      </c>
      <c r="W656" s="120">
        <f t="shared" si="590"/>
        <v>199.54768447837151</v>
      </c>
      <c r="X656" s="103">
        <f t="shared" si="591"/>
        <v>1.2047108396610976E-2</v>
      </c>
      <c r="Y656" s="122">
        <f t="shared" si="592"/>
        <v>0.98461538461538467</v>
      </c>
    </row>
    <row r="657" spans="2:25" ht="15" thickBot="1" x14ac:dyDescent="0.35">
      <c r="B657" s="11" t="s">
        <v>10</v>
      </c>
      <c r="C657" s="12">
        <v>80142</v>
      </c>
      <c r="D657" s="16">
        <v>37.6</v>
      </c>
      <c r="E657" s="12">
        <v>40776</v>
      </c>
      <c r="F657" s="12">
        <v>6031</v>
      </c>
      <c r="G657" s="12">
        <f>SUM(G647:G656)</f>
        <v>1416537</v>
      </c>
      <c r="H657" s="81">
        <f t="shared" si="580"/>
        <v>33335</v>
      </c>
      <c r="I657" s="117"/>
      <c r="J657" s="117"/>
      <c r="K657" s="77">
        <f t="shared" si="578"/>
        <v>37673.856382978724</v>
      </c>
      <c r="L657" s="23">
        <f t="shared" si="579"/>
        <v>2131.4361702127658</v>
      </c>
      <c r="M657" s="31">
        <f>(H657-H643)/H643</f>
        <v>5.5806938159879338E-3</v>
      </c>
      <c r="N657" s="33">
        <f t="shared" si="582"/>
        <v>0.12884824919349669</v>
      </c>
      <c r="O657" s="45">
        <f>F657/D657</f>
        <v>160.39893617021275</v>
      </c>
      <c r="P657" s="53">
        <f t="shared" si="584"/>
        <v>7.5253924284395202E-2</v>
      </c>
      <c r="Q657" s="55">
        <f t="shared" si="585"/>
        <v>886.56914893617022</v>
      </c>
      <c r="R657" s="74">
        <f>G657/H657</f>
        <v>42.493985300734963</v>
      </c>
      <c r="S657" s="92">
        <f t="shared" si="587"/>
        <v>27.393617021276594</v>
      </c>
      <c r="T657" s="93">
        <f t="shared" si="588"/>
        <v>3.1648936170212765</v>
      </c>
      <c r="V657" s="108" t="str">
        <f t="shared" si="589"/>
        <v>Canada</v>
      </c>
      <c r="W657" s="109">
        <f t="shared" si="590"/>
        <v>12.918304650219323</v>
      </c>
      <c r="X657" s="103">
        <f t="shared" si="591"/>
        <v>2.8419148936170209E-2</v>
      </c>
      <c r="Y657" s="122">
        <f t="shared" si="592"/>
        <v>0.58405080981258262</v>
      </c>
    </row>
    <row r="658" spans="2:25" ht="15" thickBot="1" x14ac:dyDescent="0.35">
      <c r="B658" s="6" t="s">
        <v>9</v>
      </c>
      <c r="C658" s="7">
        <v>1582373</v>
      </c>
      <c r="D658" s="7">
        <v>327</v>
      </c>
      <c r="E658" s="7">
        <v>361981</v>
      </c>
      <c r="F658" s="7">
        <v>94327</v>
      </c>
      <c r="G658" s="7">
        <v>12828289</v>
      </c>
      <c r="H658" s="82">
        <f t="shared" si="580"/>
        <v>1126065</v>
      </c>
      <c r="I658" s="117"/>
      <c r="J658" s="117"/>
      <c r="K658" s="78">
        <f t="shared" si="578"/>
        <v>39230.241590214064</v>
      </c>
      <c r="L658" s="24">
        <f t="shared" si="579"/>
        <v>4839.0611620795107</v>
      </c>
      <c r="M658" s="31">
        <f>(H658-H644)/H644</f>
        <v>1.3884737143495125E-2</v>
      </c>
      <c r="N658" s="33">
        <f t="shared" si="582"/>
        <v>0.2067178309387519</v>
      </c>
      <c r="O658" s="46">
        <f>F658/D658</f>
        <v>288.4617737003058</v>
      </c>
      <c r="P658" s="52">
        <f t="shared" si="584"/>
        <v>5.9611103071146941E-2</v>
      </c>
      <c r="Q658" s="54">
        <f t="shared" si="585"/>
        <v>3443.6238532110092</v>
      </c>
      <c r="R658" s="72">
        <f>G658/H658</f>
        <v>11.392138997304773</v>
      </c>
      <c r="S658" s="92">
        <f t="shared" si="587"/>
        <v>50.311926605504588</v>
      </c>
      <c r="T658" s="93">
        <f t="shared" si="588"/>
        <v>3.1529051987767582</v>
      </c>
      <c r="V658" s="108" t="str">
        <f t="shared" si="589"/>
        <v>USA</v>
      </c>
      <c r="W658" s="109">
        <f t="shared" si="590"/>
        <v>27.639683791704829</v>
      </c>
      <c r="X658" s="103">
        <f t="shared" si="591"/>
        <v>6.1961074877876748E-2</v>
      </c>
      <c r="Y658" s="122">
        <f t="shared" si="592"/>
        <v>0.28836942996373166</v>
      </c>
    </row>
    <row r="659" spans="2:25" ht="15" thickBot="1" x14ac:dyDescent="0.35"/>
    <row r="660" spans="2:25" ht="29.4" thickBot="1" x14ac:dyDescent="0.35">
      <c r="B660" s="96">
        <v>44317</v>
      </c>
      <c r="C660" s="18" t="s">
        <v>8</v>
      </c>
      <c r="D660" s="19" t="s">
        <v>17</v>
      </c>
      <c r="E660" s="19" t="s">
        <v>15</v>
      </c>
      <c r="F660" s="19" t="s">
        <v>16</v>
      </c>
      <c r="G660" s="19" t="s">
        <v>14</v>
      </c>
      <c r="H660" s="20" t="s">
        <v>38</v>
      </c>
      <c r="I660" s="116"/>
      <c r="J660" s="116"/>
      <c r="K660" s="19" t="s">
        <v>21</v>
      </c>
      <c r="L660" s="19" t="s">
        <v>20</v>
      </c>
      <c r="M660" s="19" t="s">
        <v>40</v>
      </c>
      <c r="N660" s="19" t="s">
        <v>32</v>
      </c>
      <c r="O660" s="19" t="s">
        <v>22</v>
      </c>
      <c r="P660" s="51" t="s">
        <v>34</v>
      </c>
      <c r="Q660" s="20" t="s">
        <v>35</v>
      </c>
      <c r="R660" s="63" t="s">
        <v>39</v>
      </c>
      <c r="S660" s="91" t="s">
        <v>43</v>
      </c>
      <c r="T660" s="91" t="s">
        <v>44</v>
      </c>
      <c r="V660" s="104" t="s">
        <v>48</v>
      </c>
      <c r="W660" s="105" t="s">
        <v>49</v>
      </c>
      <c r="X660" s="106" t="s">
        <v>50</v>
      </c>
      <c r="Y660" s="61" t="s">
        <v>52</v>
      </c>
    </row>
    <row r="661" spans="2:25" x14ac:dyDescent="0.3">
      <c r="B661" s="3" t="s">
        <v>0</v>
      </c>
      <c r="C661" s="1">
        <v>24187</v>
      </c>
      <c r="D661" s="14">
        <v>14.45</v>
      </c>
      <c r="E661" s="1">
        <v>18509</v>
      </c>
      <c r="F661" s="1">
        <v>1993</v>
      </c>
      <c r="G661" s="1">
        <v>577682</v>
      </c>
      <c r="H661" s="118">
        <f>C661-E661-F661</f>
        <v>3685</v>
      </c>
      <c r="I661" s="117"/>
      <c r="J661" s="117"/>
      <c r="K661" s="114">
        <f t="shared" ref="K661:K672" si="593">G661/D661</f>
        <v>39977.993079584776</v>
      </c>
      <c r="L661" s="21">
        <f t="shared" ref="L661:L672" si="594">C661/D661</f>
        <v>1673.8408304498271</v>
      </c>
      <c r="M661" s="31">
        <f>(H661-H647)/H647</f>
        <v>1.7393705135284373E-2</v>
      </c>
      <c r="N661" s="31">
        <f>F661/(E661+F661)</f>
        <v>9.7210028289922937E-2</v>
      </c>
      <c r="O661" s="43">
        <f>F661/D661</f>
        <v>137.92387543252596</v>
      </c>
      <c r="P661" s="49">
        <f>F661/C661</f>
        <v>8.239963616818953E-2</v>
      </c>
      <c r="Q661" s="47">
        <f>(C661-E661-F661)/D661</f>
        <v>255.0173010380623</v>
      </c>
      <c r="R661" s="66">
        <f>G661/H661</f>
        <v>156.76580732700137</v>
      </c>
      <c r="S661" s="92">
        <f>(C661-C647)/D661</f>
        <v>28.581314878892734</v>
      </c>
      <c r="T661" s="93">
        <f>(F661-F647)/D661</f>
        <v>2.1453287197231834</v>
      </c>
      <c r="V661" s="101" t="str">
        <f>B661</f>
        <v>ON</v>
      </c>
      <c r="W661" s="102">
        <f>L661/180+IFERROR((D661*C661*13)/(F661*F661),500)</f>
        <v>10.442990825456423</v>
      </c>
      <c r="X661" s="103">
        <f>L661/75000*K$671/K661</f>
        <v>2.1623719379365528E-2</v>
      </c>
      <c r="Y661" s="122">
        <f>(E661+F661)/C661</f>
        <v>0.8476454293628809</v>
      </c>
    </row>
    <row r="662" spans="2:25" x14ac:dyDescent="0.3">
      <c r="B662" s="5" t="s">
        <v>1</v>
      </c>
      <c r="C662" s="1">
        <v>45495</v>
      </c>
      <c r="D662" s="14">
        <v>8.43</v>
      </c>
      <c r="E662" s="1">
        <v>13327</v>
      </c>
      <c r="F662" s="1">
        <v>3800</v>
      </c>
      <c r="G662" s="1">
        <v>371341</v>
      </c>
      <c r="H662" s="118">
        <f t="shared" ref="H662:H672" si="595">C662-E662-F662</f>
        <v>28368</v>
      </c>
      <c r="I662" s="117"/>
      <c r="J662" s="117"/>
      <c r="K662" s="114">
        <f t="shared" si="593"/>
        <v>44049.940688018978</v>
      </c>
      <c r="L662" s="21">
        <f t="shared" si="594"/>
        <v>5396.7971530249115</v>
      </c>
      <c r="M662" s="31">
        <f t="shared" ref="M662:M667" si="596">(H662-H648)/H648</f>
        <v>4.710465734018063E-3</v>
      </c>
      <c r="N662" s="31">
        <f t="shared" ref="N662:N672" si="597">F662/(E662+F662)</f>
        <v>0.22187189817247621</v>
      </c>
      <c r="O662" s="43">
        <f t="shared" ref="O662:O670" si="598">F662/D662</f>
        <v>450.77105575326215</v>
      </c>
      <c r="P662" s="49">
        <f t="shared" ref="P662:P672" si="599">F662/C662</f>
        <v>8.3525662160677E-2</v>
      </c>
      <c r="Q662" s="47">
        <f t="shared" ref="Q662:Q672" si="600">(C662-E662-F662)/D662</f>
        <v>3365.1245551601423</v>
      </c>
      <c r="R662" s="66">
        <f t="shared" ref="R662:R667" si="601">G662/H662</f>
        <v>13.090136773829668</v>
      </c>
      <c r="S662" s="92">
        <f t="shared" ref="S662:S672" si="602">(C662-C648)/D662</f>
        <v>85.409252669039148</v>
      </c>
      <c r="T662" s="93">
        <f t="shared" ref="T662:T672" si="603">(F662-F648)/D662</f>
        <v>9.7271648873072358</v>
      </c>
      <c r="V662" s="98" t="str">
        <f t="shared" ref="V662:V672" si="604">B662</f>
        <v>QC</v>
      </c>
      <c r="W662" s="102">
        <f t="shared" ref="W662:W672" si="605">L662/180+IFERROR((D662*C662*13)/(F662*F662),500)</f>
        <v>30.327483209710572</v>
      </c>
      <c r="X662" s="103">
        <f t="shared" ref="X662:X672" si="606">L662/75000*K$671/K662</f>
        <v>6.3274393991941916E-2</v>
      </c>
      <c r="Y662" s="122">
        <f t="shared" ref="Y662:Y672" si="607">(E662+F662)/C662</f>
        <v>0.37645895153313552</v>
      </c>
    </row>
    <row r="663" spans="2:25" x14ac:dyDescent="0.3">
      <c r="B663" s="5" t="s">
        <v>2</v>
      </c>
      <c r="C663" s="1">
        <v>2479</v>
      </c>
      <c r="D663" s="14">
        <v>5.0199999999999996</v>
      </c>
      <c r="E663" s="1">
        <v>2020</v>
      </c>
      <c r="F663" s="1">
        <v>152</v>
      </c>
      <c r="G663" s="95">
        <v>127786</v>
      </c>
      <c r="H663" s="118">
        <f t="shared" si="595"/>
        <v>307</v>
      </c>
      <c r="I663" s="117"/>
      <c r="J663" s="117"/>
      <c r="K663" s="114">
        <f t="shared" si="593"/>
        <v>25455.378486055779</v>
      </c>
      <c r="L663" s="21">
        <f t="shared" si="594"/>
        <v>493.82470119521918</v>
      </c>
      <c r="M663" s="31">
        <f t="shared" si="596"/>
        <v>-0.10495626822157435</v>
      </c>
      <c r="N663" s="31">
        <f t="shared" si="597"/>
        <v>6.9981583793738492E-2</v>
      </c>
      <c r="O663" s="43">
        <f t="shared" si="598"/>
        <v>30.278884462151396</v>
      </c>
      <c r="P663" s="49">
        <f t="shared" si="599"/>
        <v>6.1315046389673257E-2</v>
      </c>
      <c r="Q663" s="47">
        <f t="shared" si="600"/>
        <v>61.155378486055781</v>
      </c>
      <c r="R663" s="66">
        <f t="shared" si="601"/>
        <v>416.24104234527687</v>
      </c>
      <c r="S663" s="92">
        <f t="shared" si="602"/>
        <v>2.3904382470119523</v>
      </c>
      <c r="T663" s="93">
        <f t="shared" si="603"/>
        <v>0.59760956175298807</v>
      </c>
      <c r="V663" s="98" t="str">
        <f t="shared" si="604"/>
        <v>BC</v>
      </c>
      <c r="W663" s="102">
        <f t="shared" si="605"/>
        <v>9.7457013447441376</v>
      </c>
      <c r="X663" s="103">
        <f t="shared" si="606"/>
        <v>1.0019140769258177E-2</v>
      </c>
      <c r="Y663" s="122">
        <f t="shared" si="607"/>
        <v>0.87615974183138368</v>
      </c>
    </row>
    <row r="664" spans="2:25" x14ac:dyDescent="0.3">
      <c r="B664" s="5" t="s">
        <v>3</v>
      </c>
      <c r="C664" s="1">
        <v>6768</v>
      </c>
      <c r="D664" s="14">
        <v>4.34</v>
      </c>
      <c r="E664" s="1">
        <v>5710</v>
      </c>
      <c r="F664" s="1">
        <v>132</v>
      </c>
      <c r="G664" s="1">
        <v>225588</v>
      </c>
      <c r="H664" s="118">
        <f t="shared" si="595"/>
        <v>926</v>
      </c>
      <c r="I664" s="117"/>
      <c r="J664" s="117"/>
      <c r="K664" s="114">
        <f t="shared" si="593"/>
        <v>51978.801843317975</v>
      </c>
      <c r="L664" s="21">
        <f t="shared" si="594"/>
        <v>1559.4470046082949</v>
      </c>
      <c r="M664" s="31">
        <f t="shared" si="596"/>
        <v>-4.536082474226804E-2</v>
      </c>
      <c r="N664" s="31">
        <f t="shared" si="597"/>
        <v>2.2595001711742554E-2</v>
      </c>
      <c r="O664" s="43">
        <f t="shared" si="598"/>
        <v>30.414746543778804</v>
      </c>
      <c r="P664" s="49">
        <f t="shared" si="599"/>
        <v>1.9503546099290781E-2</v>
      </c>
      <c r="Q664" s="47">
        <f t="shared" si="600"/>
        <v>213.36405529953919</v>
      </c>
      <c r="R664" s="66">
        <f t="shared" si="601"/>
        <v>243.61555075593952</v>
      </c>
      <c r="S664" s="92">
        <f t="shared" si="602"/>
        <v>7.6036866359447011</v>
      </c>
      <c r="T664" s="93">
        <f t="shared" si="603"/>
        <v>0.92165898617511521</v>
      </c>
      <c r="V664" s="98" t="str">
        <f t="shared" si="604"/>
        <v>AL</v>
      </c>
      <c r="W664" s="102">
        <f t="shared" si="605"/>
        <v>30.578801081616334</v>
      </c>
      <c r="X664" s="103">
        <f t="shared" si="606"/>
        <v>1.549464333209213E-2</v>
      </c>
      <c r="Y664" s="122">
        <f t="shared" si="607"/>
        <v>0.86317966903073284</v>
      </c>
    </row>
    <row r="665" spans="2:25" x14ac:dyDescent="0.3">
      <c r="B665" s="5" t="s">
        <v>4</v>
      </c>
      <c r="C665" s="1">
        <v>290</v>
      </c>
      <c r="D665" s="14">
        <v>1.36</v>
      </c>
      <c r="E665" s="1">
        <v>265</v>
      </c>
      <c r="F665" s="1">
        <v>7</v>
      </c>
      <c r="G665" s="1">
        <v>36402</v>
      </c>
      <c r="H665" s="118">
        <f t="shared" si="595"/>
        <v>18</v>
      </c>
      <c r="I665" s="117"/>
      <c r="J665" s="117"/>
      <c r="K665" s="114">
        <f t="shared" si="593"/>
        <v>26766.176470588234</v>
      </c>
      <c r="L665" s="21">
        <f t="shared" si="594"/>
        <v>213.23529411764704</v>
      </c>
      <c r="M665" s="31">
        <f t="shared" si="596"/>
        <v>-0.21739130434782608</v>
      </c>
      <c r="N665" s="31">
        <f t="shared" si="597"/>
        <v>2.5735294117647058E-2</v>
      </c>
      <c r="O665" s="43">
        <f t="shared" si="598"/>
        <v>5.1470588235294112</v>
      </c>
      <c r="P665" s="49">
        <f t="shared" si="599"/>
        <v>2.4137931034482758E-2</v>
      </c>
      <c r="Q665" s="47">
        <f t="shared" si="600"/>
        <v>13.235294117647058</v>
      </c>
      <c r="R665" s="66">
        <f t="shared" si="601"/>
        <v>2022.3333333333333</v>
      </c>
      <c r="S665" s="92">
        <f t="shared" si="602"/>
        <v>0</v>
      </c>
      <c r="T665" s="93">
        <f t="shared" si="603"/>
        <v>0</v>
      </c>
      <c r="V665" s="98" t="str">
        <f t="shared" si="604"/>
        <v>MA</v>
      </c>
      <c r="W665" s="102">
        <f t="shared" si="605"/>
        <v>105.82137521675338</v>
      </c>
      <c r="X665" s="103">
        <f t="shared" si="606"/>
        <v>4.1144328637542707E-3</v>
      </c>
      <c r="Y665" s="122">
        <f t="shared" si="607"/>
        <v>0.93793103448275861</v>
      </c>
    </row>
    <row r="666" spans="2:25" x14ac:dyDescent="0.3">
      <c r="B666" s="5" t="s">
        <v>5</v>
      </c>
      <c r="C666" s="1">
        <v>622</v>
      </c>
      <c r="D666" s="14">
        <v>1.17</v>
      </c>
      <c r="E666" s="1">
        <v>509</v>
      </c>
      <c r="F666" s="1">
        <v>7</v>
      </c>
      <c r="G666" s="1">
        <v>42443</v>
      </c>
      <c r="H666" s="118">
        <f t="shared" si="595"/>
        <v>106</v>
      </c>
      <c r="I666" s="117"/>
      <c r="J666" s="117"/>
      <c r="K666" s="114">
        <f t="shared" si="593"/>
        <v>36276.068376068375</v>
      </c>
      <c r="L666" s="21">
        <f t="shared" si="594"/>
        <v>531.62393162393164</v>
      </c>
      <c r="M666" s="31">
        <f t="shared" si="596"/>
        <v>-0.1092436974789916</v>
      </c>
      <c r="N666" s="31">
        <f t="shared" si="597"/>
        <v>1.3565891472868217E-2</v>
      </c>
      <c r="O666" s="43">
        <f t="shared" si="598"/>
        <v>5.982905982905983</v>
      </c>
      <c r="P666" s="49">
        <f t="shared" si="599"/>
        <v>1.1254019292604502E-2</v>
      </c>
      <c r="Q666" s="47">
        <f t="shared" si="600"/>
        <v>90.598290598290603</v>
      </c>
      <c r="R666" s="66">
        <f t="shared" si="601"/>
        <v>400.40566037735852</v>
      </c>
      <c r="S666" s="92">
        <f t="shared" si="602"/>
        <v>1.7094017094017095</v>
      </c>
      <c r="T666" s="93">
        <f t="shared" si="603"/>
        <v>0</v>
      </c>
      <c r="V666" s="98" t="str">
        <f t="shared" si="604"/>
        <v>SA</v>
      </c>
      <c r="W666" s="102">
        <f t="shared" si="605"/>
        <v>196.02734383782004</v>
      </c>
      <c r="X666" s="103">
        <f t="shared" si="606"/>
        <v>7.5687043098102529E-3</v>
      </c>
      <c r="Y666" s="122">
        <f t="shared" si="607"/>
        <v>0.82958199356913187</v>
      </c>
    </row>
    <row r="667" spans="2:25" x14ac:dyDescent="0.3">
      <c r="B667" s="5" t="s">
        <v>6</v>
      </c>
      <c r="C667" s="1">
        <v>1046</v>
      </c>
      <c r="D667" s="14">
        <v>0.96499999999999997</v>
      </c>
      <c r="E667" s="1">
        <v>959</v>
      </c>
      <c r="F667" s="1">
        <v>58</v>
      </c>
      <c r="G667" s="1">
        <f>37078+C667</f>
        <v>38124</v>
      </c>
      <c r="H667" s="118">
        <f t="shared" si="595"/>
        <v>29</v>
      </c>
      <c r="I667" s="117"/>
      <c r="J667" s="117"/>
      <c r="K667" s="114">
        <f t="shared" si="593"/>
        <v>39506.735751295339</v>
      </c>
      <c r="L667" s="21">
        <f t="shared" si="594"/>
        <v>1083.9378238341969</v>
      </c>
      <c r="M667" s="31">
        <f t="shared" si="596"/>
        <v>-9.375E-2</v>
      </c>
      <c r="N667" s="31">
        <f t="shared" si="597"/>
        <v>5.7030481809242868E-2</v>
      </c>
      <c r="O667" s="43">
        <f t="shared" si="598"/>
        <v>60.103626943005182</v>
      </c>
      <c r="P667" s="49">
        <f t="shared" si="599"/>
        <v>5.5449330783938815E-2</v>
      </c>
      <c r="Q667" s="47">
        <f t="shared" si="600"/>
        <v>30.051813471502591</v>
      </c>
      <c r="R667" s="66">
        <f t="shared" si="601"/>
        <v>1314.6206896551723</v>
      </c>
      <c r="S667" s="92">
        <f t="shared" si="602"/>
        <v>1.0362694300518136</v>
      </c>
      <c r="T667" s="93">
        <f t="shared" si="603"/>
        <v>1.0362694300518136</v>
      </c>
      <c r="V667" s="98" t="str">
        <f t="shared" si="604"/>
        <v>NS</v>
      </c>
      <c r="W667" s="102">
        <f t="shared" si="605"/>
        <v>9.9226110440253645</v>
      </c>
      <c r="X667" s="103">
        <f t="shared" si="606"/>
        <v>1.417001961125733E-2</v>
      </c>
      <c r="Y667" s="122">
        <f t="shared" si="607"/>
        <v>0.97227533460803062</v>
      </c>
    </row>
    <row r="668" spans="2:25" x14ac:dyDescent="0.3">
      <c r="B668" s="5" t="s">
        <v>7</v>
      </c>
      <c r="C668" s="1">
        <v>121</v>
      </c>
      <c r="D668" s="14">
        <v>0.77200000000000002</v>
      </c>
      <c r="E668" s="1">
        <v>120</v>
      </c>
      <c r="F668" s="1">
        <v>0</v>
      </c>
      <c r="G668" s="1">
        <v>21474</v>
      </c>
      <c r="H668" s="118">
        <f t="shared" si="595"/>
        <v>1</v>
      </c>
      <c r="I668" s="117"/>
      <c r="J668" s="117"/>
      <c r="K668" s="114">
        <f t="shared" si="593"/>
        <v>27816.062176165804</v>
      </c>
      <c r="L668" s="21">
        <f t="shared" si="594"/>
        <v>156.7357512953368</v>
      </c>
      <c r="M668" s="31">
        <v>0</v>
      </c>
      <c r="N668" s="31">
        <f t="shared" si="597"/>
        <v>0</v>
      </c>
      <c r="O668" s="43">
        <f t="shared" si="598"/>
        <v>0</v>
      </c>
      <c r="P668" s="49">
        <f t="shared" si="599"/>
        <v>0</v>
      </c>
      <c r="Q668" s="47">
        <f t="shared" si="600"/>
        <v>1.2953367875647668</v>
      </c>
      <c r="R668" s="66">
        <f>IFERROR(G668/H668,20000)</f>
        <v>21474</v>
      </c>
      <c r="S668" s="92">
        <f t="shared" si="602"/>
        <v>1.2953367875647668</v>
      </c>
      <c r="T668" s="93">
        <f t="shared" si="603"/>
        <v>0</v>
      </c>
      <c r="V668" s="98" t="str">
        <f t="shared" si="604"/>
        <v>NB</v>
      </c>
      <c r="W668" s="102">
        <f t="shared" si="605"/>
        <v>500.87075417386296</v>
      </c>
      <c r="X668" s="103">
        <f t="shared" si="606"/>
        <v>2.9101116342573601E-3</v>
      </c>
      <c r="Y668" s="122">
        <f t="shared" si="607"/>
        <v>0.99173553719008267</v>
      </c>
    </row>
    <row r="669" spans="2:25" x14ac:dyDescent="0.3">
      <c r="B669" s="5" t="s">
        <v>18</v>
      </c>
      <c r="C669" s="9">
        <v>27</v>
      </c>
      <c r="D669" s="15">
        <v>0.154</v>
      </c>
      <c r="E669" s="9">
        <v>27</v>
      </c>
      <c r="F669" s="9">
        <v>0</v>
      </c>
      <c r="G669" s="9">
        <v>4596</v>
      </c>
      <c r="H669" s="118">
        <f t="shared" si="595"/>
        <v>0</v>
      </c>
      <c r="I669" s="117"/>
      <c r="J669" s="117"/>
      <c r="K669" s="115">
        <f t="shared" si="593"/>
        <v>29844.155844155845</v>
      </c>
      <c r="L669" s="22">
        <f t="shared" si="594"/>
        <v>175.32467532467533</v>
      </c>
      <c r="M669" s="31">
        <v>0</v>
      </c>
      <c r="N669" s="31">
        <f t="shared" si="597"/>
        <v>0</v>
      </c>
      <c r="O669" s="44">
        <f t="shared" si="598"/>
        <v>0</v>
      </c>
      <c r="P669" s="49">
        <f t="shared" si="599"/>
        <v>0</v>
      </c>
      <c r="Q669" s="47">
        <f t="shared" si="600"/>
        <v>0</v>
      </c>
      <c r="R669" s="66">
        <f>IFERROR(G669/H669,20000)</f>
        <v>20000</v>
      </c>
      <c r="S669" s="92">
        <f t="shared" si="602"/>
        <v>0</v>
      </c>
      <c r="T669" s="93">
        <f t="shared" si="603"/>
        <v>0</v>
      </c>
      <c r="V669" s="98" t="str">
        <f t="shared" si="604"/>
        <v>PEI</v>
      </c>
      <c r="W669" s="102">
        <f t="shared" si="605"/>
        <v>500.97402597402595</v>
      </c>
      <c r="X669" s="103">
        <f t="shared" si="606"/>
        <v>3.0340376923504247E-3</v>
      </c>
      <c r="Y669" s="122">
        <f t="shared" si="607"/>
        <v>1</v>
      </c>
    </row>
    <row r="670" spans="2:25" ht="15" thickBot="1" x14ac:dyDescent="0.35">
      <c r="B670" s="5" t="s">
        <v>11</v>
      </c>
      <c r="C670" s="9">
        <v>260</v>
      </c>
      <c r="D670" s="15">
        <v>0.52400000000000002</v>
      </c>
      <c r="E670" s="9">
        <v>253</v>
      </c>
      <c r="F670" s="9">
        <v>3</v>
      </c>
      <c r="G670" s="9">
        <v>10983</v>
      </c>
      <c r="H670" s="119">
        <f t="shared" si="595"/>
        <v>4</v>
      </c>
      <c r="I670" s="117"/>
      <c r="J670" s="117"/>
      <c r="K670" s="115">
        <f t="shared" si="593"/>
        <v>20959.923664122136</v>
      </c>
      <c r="L670" s="22">
        <f t="shared" si="594"/>
        <v>496.18320610687022</v>
      </c>
      <c r="M670" s="31">
        <f>(H670-H656)/H656</f>
        <v>0</v>
      </c>
      <c r="N670" s="32">
        <f t="shared" si="597"/>
        <v>1.171875E-2</v>
      </c>
      <c r="O670" s="44">
        <f t="shared" si="598"/>
        <v>5.7251908396946565</v>
      </c>
      <c r="P670" s="50">
        <f t="shared" si="599"/>
        <v>1.1538461538461539E-2</v>
      </c>
      <c r="Q670" s="48">
        <f t="shared" si="600"/>
        <v>7.6335877862595414</v>
      </c>
      <c r="R670" s="67">
        <f>G670/H670</f>
        <v>2745.75</v>
      </c>
      <c r="S670" s="92">
        <f t="shared" si="602"/>
        <v>0</v>
      </c>
      <c r="T670" s="93">
        <f t="shared" si="603"/>
        <v>0</v>
      </c>
      <c r="V670" s="99" t="str">
        <f t="shared" si="604"/>
        <v>NFLD</v>
      </c>
      <c r="W670" s="120">
        <f t="shared" si="605"/>
        <v>199.54768447837151</v>
      </c>
      <c r="X670" s="103">
        <f t="shared" si="606"/>
        <v>1.2226146404210762E-2</v>
      </c>
      <c r="Y670" s="122">
        <f t="shared" si="607"/>
        <v>0.98461538461538467</v>
      </c>
    </row>
    <row r="671" spans="2:25" ht="15" thickBot="1" x14ac:dyDescent="0.35">
      <c r="B671" s="11" t="s">
        <v>10</v>
      </c>
      <c r="C671" s="12">
        <v>81324</v>
      </c>
      <c r="D671" s="16">
        <v>37.6</v>
      </c>
      <c r="E671" s="12">
        <v>41715</v>
      </c>
      <c r="F671" s="12">
        <v>6152</v>
      </c>
      <c r="G671" s="12">
        <f>SUM(G661:G670)</f>
        <v>1456419</v>
      </c>
      <c r="H671" s="81">
        <f t="shared" si="595"/>
        <v>33457</v>
      </c>
      <c r="I671" s="117"/>
      <c r="J671" s="117"/>
      <c r="K671" s="77">
        <f t="shared" si="593"/>
        <v>38734.547872340423</v>
      </c>
      <c r="L671" s="23">
        <f t="shared" si="594"/>
        <v>2162.872340425532</v>
      </c>
      <c r="M671" s="31">
        <f>(H671-H657)/H657</f>
        <v>3.6598170091495423E-3</v>
      </c>
      <c r="N671" s="33">
        <f t="shared" si="597"/>
        <v>0.12852278187477803</v>
      </c>
      <c r="O671" s="45">
        <f>F671/D671</f>
        <v>163.61702127659575</v>
      </c>
      <c r="P671" s="53">
        <f t="shared" si="599"/>
        <v>7.564802518321774E-2</v>
      </c>
      <c r="Q671" s="55">
        <f t="shared" si="600"/>
        <v>889.813829787234</v>
      </c>
      <c r="R671" s="74">
        <f>G671/H671</f>
        <v>43.531069731296888</v>
      </c>
      <c r="S671" s="92">
        <f t="shared" si="602"/>
        <v>31.436170212765955</v>
      </c>
      <c r="T671" s="93">
        <f t="shared" si="603"/>
        <v>3.2180851063829787</v>
      </c>
      <c r="V671" s="108" t="str">
        <f t="shared" si="604"/>
        <v>Canada</v>
      </c>
      <c r="W671" s="109">
        <f t="shared" si="605"/>
        <v>13.066266902454046</v>
      </c>
      <c r="X671" s="103">
        <f t="shared" si="606"/>
        <v>2.8838297872340431E-2</v>
      </c>
      <c r="Y671" s="122">
        <f t="shared" si="607"/>
        <v>0.58859623235453251</v>
      </c>
    </row>
    <row r="672" spans="2:25" ht="15" thickBot="1" x14ac:dyDescent="0.35">
      <c r="B672" s="6" t="s">
        <v>9</v>
      </c>
      <c r="C672" s="7">
        <v>1602497</v>
      </c>
      <c r="D672" s="7">
        <v>327</v>
      </c>
      <c r="E672" s="7">
        <v>371795</v>
      </c>
      <c r="F672" s="7">
        <v>95474</v>
      </c>
      <c r="G672" s="7">
        <v>13184945</v>
      </c>
      <c r="H672" s="82">
        <f t="shared" si="595"/>
        <v>1135228</v>
      </c>
      <c r="I672" s="117"/>
      <c r="J672" s="117"/>
      <c r="K672" s="78">
        <f t="shared" si="593"/>
        <v>40320.932721712539</v>
      </c>
      <c r="L672" s="24">
        <f t="shared" si="594"/>
        <v>4900.6024464831808</v>
      </c>
      <c r="M672" s="31">
        <f>(H672-H658)/H658</f>
        <v>8.13718568643906E-3</v>
      </c>
      <c r="N672" s="33">
        <f t="shared" si="597"/>
        <v>0.20432341970042953</v>
      </c>
      <c r="O672" s="46">
        <f>F672/D672</f>
        <v>291.96941896024464</v>
      </c>
      <c r="P672" s="52">
        <f t="shared" si="599"/>
        <v>5.9578270661349131E-2</v>
      </c>
      <c r="Q672" s="54">
        <f t="shared" si="600"/>
        <v>3471.6452599388381</v>
      </c>
      <c r="R672" s="72">
        <f>G672/H672</f>
        <v>11.614358525335879</v>
      </c>
      <c r="S672" s="92">
        <f t="shared" si="602"/>
        <v>61.541284403669728</v>
      </c>
      <c r="T672" s="93">
        <f t="shared" si="603"/>
        <v>3.5076452599388381</v>
      </c>
      <c r="V672" s="108" t="str">
        <f t="shared" si="604"/>
        <v>USA</v>
      </c>
      <c r="W672" s="109">
        <f t="shared" si="605"/>
        <v>27.972908916443519</v>
      </c>
      <c r="X672" s="103">
        <f t="shared" si="606"/>
        <v>6.2770578374837779E-2</v>
      </c>
      <c r="Y672" s="122">
        <f t="shared" si="607"/>
        <v>0.29158806537547338</v>
      </c>
    </row>
    <row r="673" spans="2:28" ht="15" thickBot="1" x14ac:dyDescent="0.35"/>
    <row r="674" spans="2:28" ht="29.4" thickBot="1" x14ac:dyDescent="0.35">
      <c r="B674" s="96">
        <v>44682</v>
      </c>
      <c r="C674" s="18" t="s">
        <v>8</v>
      </c>
      <c r="D674" s="19" t="s">
        <v>17</v>
      </c>
      <c r="E674" s="19" t="s">
        <v>15</v>
      </c>
      <c r="F674" s="19" t="s">
        <v>16</v>
      </c>
      <c r="G674" s="19" t="s">
        <v>14</v>
      </c>
      <c r="H674" s="20" t="s">
        <v>38</v>
      </c>
      <c r="I674" s="116"/>
      <c r="J674" s="116"/>
      <c r="K674" s="19" t="s">
        <v>21</v>
      </c>
      <c r="L674" s="19" t="s">
        <v>20</v>
      </c>
      <c r="M674" s="19" t="s">
        <v>40</v>
      </c>
      <c r="N674" s="19" t="s">
        <v>32</v>
      </c>
      <c r="O674" s="19" t="s">
        <v>22</v>
      </c>
      <c r="P674" s="51" t="s">
        <v>34</v>
      </c>
      <c r="Q674" s="20" t="s">
        <v>35</v>
      </c>
      <c r="R674" s="63" t="s">
        <v>39</v>
      </c>
      <c r="S674" s="91" t="s">
        <v>43</v>
      </c>
      <c r="T674" s="91" t="s">
        <v>44</v>
      </c>
      <c r="V674" s="104" t="s">
        <v>48</v>
      </c>
      <c r="W674" s="105" t="s">
        <v>49</v>
      </c>
      <c r="X674" s="106" t="s">
        <v>50</v>
      </c>
    </row>
    <row r="675" spans="2:28" x14ac:dyDescent="0.3">
      <c r="B675" s="3" t="s">
        <v>0</v>
      </c>
      <c r="C675" s="1">
        <v>24628</v>
      </c>
      <c r="D675" s="14">
        <v>14.45</v>
      </c>
      <c r="E675" s="1">
        <v>18767</v>
      </c>
      <c r="F675" s="1">
        <v>2021</v>
      </c>
      <c r="G675" s="1">
        <v>588958</v>
      </c>
      <c r="H675" s="118">
        <f>C675-E675-F675</f>
        <v>3840</v>
      </c>
      <c r="I675" s="117"/>
      <c r="J675" s="117"/>
      <c r="K675" s="114">
        <f t="shared" ref="K675:K686" si="608">G675/D675</f>
        <v>40758.33910034602</v>
      </c>
      <c r="L675" s="21">
        <f t="shared" ref="L675:L686" si="609">C675/D675</f>
        <v>1704.3598615916956</v>
      </c>
      <c r="M675" s="31">
        <f>(H675-H661)/H661</f>
        <v>4.2062415196743558E-2</v>
      </c>
      <c r="N675" s="31">
        <f>F675/(E675+F675)</f>
        <v>9.7219549740234751E-2</v>
      </c>
      <c r="O675" s="43">
        <f>F675/D675</f>
        <v>139.86159169550174</v>
      </c>
      <c r="P675" s="49">
        <f>F675/C675</f>
        <v>8.2061068702290074E-2</v>
      </c>
      <c r="Q675" s="47">
        <f>(C675-E675-F675)/D675</f>
        <v>265.74394463667824</v>
      </c>
      <c r="R675" s="66">
        <f>G675/H675</f>
        <v>153.37447916666667</v>
      </c>
      <c r="S675" s="92">
        <f>(C675-C661)/D675</f>
        <v>30.519031141868513</v>
      </c>
      <c r="T675" s="93">
        <f>(F675-F661)/D675</f>
        <v>1.9377162629757787</v>
      </c>
      <c r="V675" s="101" t="str">
        <f>B675</f>
        <v>ON</v>
      </c>
      <c r="W675" s="102">
        <f>L675/180+IFERROR((D675*C675*13)/(F675*F675),500)</f>
        <v>10.601347163050445</v>
      </c>
      <c r="X675" s="103">
        <f>L675/75000*K$685/K675</f>
        <v>2.1840806871344532E-2</v>
      </c>
    </row>
    <row r="676" spans="2:28" x14ac:dyDescent="0.3">
      <c r="B676" s="5" t="s">
        <v>1</v>
      </c>
      <c r="C676" s="1">
        <v>46141</v>
      </c>
      <c r="D676" s="14">
        <v>8.43</v>
      </c>
      <c r="E676" s="1">
        <v>13819</v>
      </c>
      <c r="F676" s="1">
        <v>3865</v>
      </c>
      <c r="G676" s="1">
        <v>371341</v>
      </c>
      <c r="H676" s="118">
        <f t="shared" ref="H676:H686" si="610">C676-E676-F676</f>
        <v>28457</v>
      </c>
      <c r="I676" s="117"/>
      <c r="J676" s="117"/>
      <c r="K676" s="114">
        <f t="shared" si="608"/>
        <v>44049.940688018978</v>
      </c>
      <c r="L676" s="21">
        <f t="shared" si="609"/>
        <v>5473.4282325029653</v>
      </c>
      <c r="M676" s="31">
        <f t="shared" ref="M676:M682" si="611">(H676-H662)/H662</f>
        <v>3.1373378454596728E-3</v>
      </c>
      <c r="N676" s="31">
        <f t="shared" ref="N676:N686" si="612">F676/(E676+F676)</f>
        <v>0.21855914951368469</v>
      </c>
      <c r="O676" s="43">
        <f t="shared" ref="O676:O684" si="613">F676/D676</f>
        <v>458.48161328588378</v>
      </c>
      <c r="P676" s="49">
        <f t="shared" ref="P676:P686" si="614">F676/C676</f>
        <v>8.3764981253115448E-2</v>
      </c>
      <c r="Q676" s="47">
        <f t="shared" ref="Q676:Q686" si="615">(C676-E676-F676)/D676</f>
        <v>3375.6820877817322</v>
      </c>
      <c r="R676" s="66">
        <f t="shared" ref="R676:R681" si="616">G676/H676</f>
        <v>13.049197034121658</v>
      </c>
      <c r="S676" s="92">
        <f t="shared" ref="S676:S686" si="617">(C676-C662)/D676</f>
        <v>76.631079478054573</v>
      </c>
      <c r="T676" s="93">
        <f t="shared" ref="T676:T686" si="618">(F676-F662)/D676</f>
        <v>7.71055753262159</v>
      </c>
      <c r="V676" s="98" t="str">
        <f t="shared" ref="V676:V686" si="619">B676</f>
        <v>QC</v>
      </c>
      <c r="W676" s="102">
        <f t="shared" ref="W676:W686" si="620">L676/180+IFERROR((D676*C676*13)/(F676*F676),500)</f>
        <v>30.74643482768446</v>
      </c>
      <c r="X676" s="103">
        <f t="shared" ref="X676:X686" si="621">L676/75000*K$685/K676</f>
        <v>6.4898993126903809E-2</v>
      </c>
    </row>
    <row r="677" spans="2:28" x14ac:dyDescent="0.3">
      <c r="B677" s="5" t="s">
        <v>2</v>
      </c>
      <c r="C677" s="1">
        <v>2507</v>
      </c>
      <c r="D677" s="14">
        <v>5.0199999999999996</v>
      </c>
      <c r="E677" s="1">
        <v>2042</v>
      </c>
      <c r="F677" s="1">
        <v>155</v>
      </c>
      <c r="G677" s="95">
        <v>127786</v>
      </c>
      <c r="H677" s="118">
        <f t="shared" si="610"/>
        <v>310</v>
      </c>
      <c r="I677" s="117"/>
      <c r="J677" s="117"/>
      <c r="K677" s="114">
        <f t="shared" si="608"/>
        <v>25455.378486055779</v>
      </c>
      <c r="L677" s="21">
        <f t="shared" si="609"/>
        <v>499.40239043824704</v>
      </c>
      <c r="M677" s="31">
        <f t="shared" si="611"/>
        <v>9.7719869706840382E-3</v>
      </c>
      <c r="N677" s="31">
        <f t="shared" si="612"/>
        <v>7.0550751024123809E-2</v>
      </c>
      <c r="O677" s="43">
        <f t="shared" si="613"/>
        <v>30.876494023904385</v>
      </c>
      <c r="P677" s="49">
        <f t="shared" si="614"/>
        <v>6.1826884722776226E-2</v>
      </c>
      <c r="Q677" s="47">
        <f t="shared" si="615"/>
        <v>61.75298804780877</v>
      </c>
      <c r="R677" s="66">
        <f t="shared" si="616"/>
        <v>412.21290322580643</v>
      </c>
      <c r="S677" s="92">
        <f t="shared" si="617"/>
        <v>5.5776892430278888</v>
      </c>
      <c r="T677" s="93">
        <f t="shared" si="618"/>
        <v>0.59760956175298807</v>
      </c>
      <c r="V677" s="98" t="str">
        <f t="shared" si="619"/>
        <v>BC</v>
      </c>
      <c r="W677" s="102">
        <f t="shared" si="620"/>
        <v>9.5843149567068764</v>
      </c>
      <c r="X677" s="103">
        <f t="shared" si="621"/>
        <v>1.0246957077396571E-2</v>
      </c>
    </row>
    <row r="678" spans="2:28" x14ac:dyDescent="0.3">
      <c r="B678" s="5" t="s">
        <v>3</v>
      </c>
      <c r="C678" s="1">
        <v>6800</v>
      </c>
      <c r="D678" s="14">
        <v>4.34</v>
      </c>
      <c r="E678" s="1">
        <v>5801</v>
      </c>
      <c r="F678" s="1">
        <v>134</v>
      </c>
      <c r="G678" s="1">
        <v>228793</v>
      </c>
      <c r="H678" s="118">
        <f t="shared" si="610"/>
        <v>865</v>
      </c>
      <c r="I678" s="117"/>
      <c r="J678" s="117"/>
      <c r="K678" s="114">
        <f t="shared" si="608"/>
        <v>52717.281105990784</v>
      </c>
      <c r="L678" s="21">
        <f t="shared" si="609"/>
        <v>1566.8202764976959</v>
      </c>
      <c r="M678" s="31">
        <f t="shared" si="611"/>
        <v>-6.5874730021598271E-2</v>
      </c>
      <c r="N678" s="31">
        <f t="shared" si="612"/>
        <v>2.257792754844145E-2</v>
      </c>
      <c r="O678" s="43">
        <f t="shared" si="613"/>
        <v>30.875576036866359</v>
      </c>
      <c r="P678" s="49">
        <f t="shared" si="614"/>
        <v>1.9705882352941177E-2</v>
      </c>
      <c r="Q678" s="47">
        <f t="shared" si="615"/>
        <v>199.30875576036868</v>
      </c>
      <c r="R678" s="66">
        <f t="shared" si="616"/>
        <v>264.50057803468206</v>
      </c>
      <c r="S678" s="92">
        <f t="shared" si="617"/>
        <v>7.3732718894009217</v>
      </c>
      <c r="T678" s="93">
        <f t="shared" si="618"/>
        <v>0.46082949308755761</v>
      </c>
      <c r="V678" s="98" t="str">
        <f t="shared" si="619"/>
        <v>AL</v>
      </c>
      <c r="W678" s="102">
        <f t="shared" si="620"/>
        <v>30.071008417116104</v>
      </c>
      <c r="X678" s="103">
        <f t="shared" si="621"/>
        <v>1.5523514038968544E-2</v>
      </c>
    </row>
    <row r="679" spans="2:28" x14ac:dyDescent="0.3">
      <c r="B679" s="5" t="s">
        <v>4</v>
      </c>
      <c r="C679" s="1">
        <v>292</v>
      </c>
      <c r="D679" s="14">
        <v>1.36</v>
      </c>
      <c r="E679" s="1">
        <v>267</v>
      </c>
      <c r="F679" s="1">
        <v>7</v>
      </c>
      <c r="G679" s="1">
        <v>37272</v>
      </c>
      <c r="H679" s="118">
        <f t="shared" si="610"/>
        <v>18</v>
      </c>
      <c r="I679" s="117"/>
      <c r="J679" s="117"/>
      <c r="K679" s="114">
        <f t="shared" si="608"/>
        <v>27405.882352941175</v>
      </c>
      <c r="L679" s="21">
        <f t="shared" si="609"/>
        <v>214.70588235294116</v>
      </c>
      <c r="M679" s="31">
        <f t="shared" si="611"/>
        <v>0</v>
      </c>
      <c r="N679" s="31">
        <f t="shared" si="612"/>
        <v>2.5547445255474453E-2</v>
      </c>
      <c r="O679" s="43">
        <f t="shared" si="613"/>
        <v>5.1470588235294112</v>
      </c>
      <c r="P679" s="49">
        <f t="shared" si="614"/>
        <v>2.3972602739726026E-2</v>
      </c>
      <c r="Q679" s="47">
        <f t="shared" si="615"/>
        <v>13.235294117647058</v>
      </c>
      <c r="R679" s="66">
        <f t="shared" si="616"/>
        <v>2070.6666666666665</v>
      </c>
      <c r="S679" s="92">
        <f t="shared" si="617"/>
        <v>1.4705882352941175</v>
      </c>
      <c r="T679" s="93">
        <f t="shared" si="618"/>
        <v>0</v>
      </c>
      <c r="V679" s="98" t="str">
        <f t="shared" si="619"/>
        <v>MA</v>
      </c>
      <c r="W679" s="102">
        <f t="shared" si="620"/>
        <v>106.55117780445512</v>
      </c>
      <c r="X679" s="103">
        <f t="shared" si="621"/>
        <v>4.0918905907729869E-3</v>
      </c>
    </row>
    <row r="680" spans="2:28" x14ac:dyDescent="0.3">
      <c r="B680" s="5" t="s">
        <v>5</v>
      </c>
      <c r="C680" s="1">
        <v>627</v>
      </c>
      <c r="D680" s="14">
        <v>1.17</v>
      </c>
      <c r="E680" s="1">
        <v>521</v>
      </c>
      <c r="F680" s="1">
        <v>7</v>
      </c>
      <c r="G680" s="1">
        <v>42843</v>
      </c>
      <c r="H680" s="118">
        <f t="shared" si="610"/>
        <v>99</v>
      </c>
      <c r="I680" s="117"/>
      <c r="J680" s="117"/>
      <c r="K680" s="114">
        <f t="shared" si="608"/>
        <v>36617.948717948719</v>
      </c>
      <c r="L680" s="21">
        <f t="shared" si="609"/>
        <v>535.89743589743591</v>
      </c>
      <c r="M680" s="31">
        <f t="shared" si="611"/>
        <v>-6.6037735849056603E-2</v>
      </c>
      <c r="N680" s="31">
        <f t="shared" si="612"/>
        <v>1.3257575757575758E-2</v>
      </c>
      <c r="O680" s="43">
        <f t="shared" si="613"/>
        <v>5.982905982905983</v>
      </c>
      <c r="P680" s="49">
        <f t="shared" si="614"/>
        <v>1.1164274322169059E-2</v>
      </c>
      <c r="Q680" s="47">
        <f t="shared" si="615"/>
        <v>84.615384615384627</v>
      </c>
      <c r="R680" s="66">
        <f t="shared" si="616"/>
        <v>432.75757575757575</v>
      </c>
      <c r="S680" s="92">
        <f t="shared" si="617"/>
        <v>4.2735042735042734</v>
      </c>
      <c r="T680" s="93">
        <f t="shared" si="618"/>
        <v>0</v>
      </c>
      <c r="V680" s="98" t="str">
        <f t="shared" si="619"/>
        <v>SA</v>
      </c>
      <c r="W680" s="102">
        <f t="shared" si="620"/>
        <v>197.60312634455488</v>
      </c>
      <c r="X680" s="103">
        <f t="shared" si="621"/>
        <v>7.6438389101027449E-3</v>
      </c>
    </row>
    <row r="681" spans="2:28" x14ac:dyDescent="0.3">
      <c r="B681" s="5" t="s">
        <v>6</v>
      </c>
      <c r="C681" s="1">
        <v>1048</v>
      </c>
      <c r="D681" s="14">
        <v>0.96499999999999997</v>
      </c>
      <c r="E681" s="1">
        <v>961</v>
      </c>
      <c r="F681" s="1">
        <v>58</v>
      </c>
      <c r="G681" s="1">
        <f>37405+C681</f>
        <v>38453</v>
      </c>
      <c r="H681" s="118">
        <f t="shared" si="610"/>
        <v>29</v>
      </c>
      <c r="I681" s="117"/>
      <c r="J681" s="117"/>
      <c r="K681" s="114">
        <f t="shared" si="608"/>
        <v>39847.668393782384</v>
      </c>
      <c r="L681" s="21">
        <f t="shared" si="609"/>
        <v>1086.0103626943005</v>
      </c>
      <c r="M681" s="31">
        <f t="shared" si="611"/>
        <v>0</v>
      </c>
      <c r="N681" s="31">
        <f t="shared" si="612"/>
        <v>5.6918547595682038E-2</v>
      </c>
      <c r="O681" s="43">
        <f t="shared" si="613"/>
        <v>60.103626943005182</v>
      </c>
      <c r="P681" s="49">
        <f t="shared" si="614"/>
        <v>5.5343511450381681E-2</v>
      </c>
      <c r="Q681" s="47">
        <f t="shared" si="615"/>
        <v>30.051813471502591</v>
      </c>
      <c r="R681" s="66">
        <f t="shared" si="616"/>
        <v>1325.9655172413793</v>
      </c>
      <c r="S681" s="92">
        <f t="shared" si="617"/>
        <v>2.0725388601036272</v>
      </c>
      <c r="T681" s="93">
        <f t="shared" si="618"/>
        <v>0</v>
      </c>
      <c r="V681" s="98" t="str">
        <f t="shared" si="619"/>
        <v>NS</v>
      </c>
      <c r="W681" s="102">
        <f t="shared" si="620"/>
        <v>9.9415835316812444</v>
      </c>
      <c r="X681" s="103">
        <f t="shared" si="621"/>
        <v>1.4234916162735643E-2</v>
      </c>
    </row>
    <row r="682" spans="2:28" x14ac:dyDescent="0.3">
      <c r="B682" s="5" t="s">
        <v>7</v>
      </c>
      <c r="C682" s="1">
        <v>121</v>
      </c>
      <c r="D682" s="14">
        <v>0.77200000000000002</v>
      </c>
      <c r="E682" s="1">
        <v>120</v>
      </c>
      <c r="F682" s="1">
        <v>0</v>
      </c>
      <c r="G682" s="1">
        <v>21752</v>
      </c>
      <c r="H682" s="118">
        <f t="shared" si="610"/>
        <v>1</v>
      </c>
      <c r="I682" s="117"/>
      <c r="J682" s="117"/>
      <c r="K682" s="114">
        <f t="shared" si="608"/>
        <v>28176.165803108808</v>
      </c>
      <c r="L682" s="21">
        <f t="shared" si="609"/>
        <v>156.7357512953368</v>
      </c>
      <c r="M682" s="31">
        <f t="shared" si="611"/>
        <v>0</v>
      </c>
      <c r="N682" s="31">
        <f t="shared" si="612"/>
        <v>0</v>
      </c>
      <c r="O682" s="43">
        <f t="shared" si="613"/>
        <v>0</v>
      </c>
      <c r="P682" s="49">
        <f t="shared" si="614"/>
        <v>0</v>
      </c>
      <c r="Q682" s="47">
        <f t="shared" si="615"/>
        <v>1.2953367875647668</v>
      </c>
      <c r="R682" s="66">
        <f>IFERROR(G682/H682,20000)</f>
        <v>21752</v>
      </c>
      <c r="S682" s="92">
        <f t="shared" si="617"/>
        <v>0</v>
      </c>
      <c r="T682" s="93">
        <f t="shared" si="618"/>
        <v>0</v>
      </c>
      <c r="V682" s="98" t="str">
        <f t="shared" si="619"/>
        <v>NB</v>
      </c>
      <c r="W682" s="102">
        <f t="shared" si="620"/>
        <v>500.87075417386296</v>
      </c>
      <c r="X682" s="103">
        <f t="shared" si="621"/>
        <v>2.9054274458173244E-3</v>
      </c>
    </row>
    <row r="683" spans="2:28" x14ac:dyDescent="0.3">
      <c r="B683" s="5" t="s">
        <v>18</v>
      </c>
      <c r="C683" s="9">
        <v>27</v>
      </c>
      <c r="D683" s="15">
        <v>0.154</v>
      </c>
      <c r="E683" s="9">
        <v>27</v>
      </c>
      <c r="F683" s="9">
        <v>0</v>
      </c>
      <c r="G683" s="9">
        <v>4596</v>
      </c>
      <c r="H683" s="118">
        <f t="shared" si="610"/>
        <v>0</v>
      </c>
      <c r="I683" s="117"/>
      <c r="J683" s="117"/>
      <c r="K683" s="115">
        <f t="shared" si="608"/>
        <v>29844.155844155845</v>
      </c>
      <c r="L683" s="22">
        <f t="shared" si="609"/>
        <v>175.32467532467533</v>
      </c>
      <c r="M683" s="31">
        <v>0</v>
      </c>
      <c r="N683" s="31">
        <f t="shared" si="612"/>
        <v>0</v>
      </c>
      <c r="O683" s="44">
        <f t="shared" si="613"/>
        <v>0</v>
      </c>
      <c r="P683" s="49">
        <f t="shared" si="614"/>
        <v>0</v>
      </c>
      <c r="Q683" s="47">
        <f t="shared" si="615"/>
        <v>0</v>
      </c>
      <c r="R683" s="66">
        <f>IFERROR(G683/H683,20000)</f>
        <v>20000</v>
      </c>
      <c r="S683" s="92">
        <f t="shared" si="617"/>
        <v>0</v>
      </c>
      <c r="T683" s="93">
        <f t="shared" si="618"/>
        <v>0</v>
      </c>
      <c r="V683" s="98" t="str">
        <f t="shared" si="619"/>
        <v>PEI</v>
      </c>
      <c r="W683" s="102">
        <f t="shared" si="620"/>
        <v>500.97402597402595</v>
      </c>
      <c r="X683" s="103">
        <f t="shared" si="621"/>
        <v>3.0683691183823114E-3</v>
      </c>
    </row>
    <row r="684" spans="2:28" ht="15" thickBot="1" x14ac:dyDescent="0.35">
      <c r="B684" s="5" t="s">
        <v>11</v>
      </c>
      <c r="C684" s="9">
        <v>260</v>
      </c>
      <c r="D684" s="15">
        <v>0.52400000000000002</v>
      </c>
      <c r="E684" s="9">
        <v>253</v>
      </c>
      <c r="F684" s="9">
        <v>3</v>
      </c>
      <c r="G684" s="9">
        <v>11105</v>
      </c>
      <c r="H684" s="119">
        <f t="shared" si="610"/>
        <v>4</v>
      </c>
      <c r="I684" s="117"/>
      <c r="J684" s="117"/>
      <c r="K684" s="115">
        <f t="shared" si="608"/>
        <v>21192.748091603051</v>
      </c>
      <c r="L684" s="22">
        <f t="shared" si="609"/>
        <v>496.18320610687022</v>
      </c>
      <c r="M684" s="31">
        <f>(H684-H670)/H670</f>
        <v>0</v>
      </c>
      <c r="N684" s="32">
        <f t="shared" si="612"/>
        <v>1.171875E-2</v>
      </c>
      <c r="O684" s="44">
        <f t="shared" si="613"/>
        <v>5.7251908396946565</v>
      </c>
      <c r="P684" s="50">
        <f t="shared" si="614"/>
        <v>1.1538461538461539E-2</v>
      </c>
      <c r="Q684" s="48">
        <f t="shared" si="615"/>
        <v>7.6335877862595414</v>
      </c>
      <c r="R684" s="67">
        <f>G684/H684</f>
        <v>2776.25</v>
      </c>
      <c r="S684" s="92">
        <f t="shared" si="617"/>
        <v>0</v>
      </c>
      <c r="T684" s="93">
        <f t="shared" si="618"/>
        <v>0</v>
      </c>
      <c r="V684" s="99" t="str">
        <f t="shared" si="619"/>
        <v>NFLD</v>
      </c>
      <c r="W684" s="120">
        <f t="shared" si="620"/>
        <v>199.54768447837151</v>
      </c>
      <c r="X684" s="103">
        <f t="shared" si="621"/>
        <v>1.2228653631837935E-2</v>
      </c>
    </row>
    <row r="685" spans="2:28" ht="15" thickBot="1" x14ac:dyDescent="0.35">
      <c r="B685" s="11" t="s">
        <v>10</v>
      </c>
      <c r="C685" s="12">
        <v>82480</v>
      </c>
      <c r="D685" s="16">
        <v>37.6</v>
      </c>
      <c r="E685" s="12">
        <v>42594</v>
      </c>
      <c r="F685" s="12">
        <v>6250</v>
      </c>
      <c r="G685" s="12">
        <f>SUM(G675:G684)</f>
        <v>1472899</v>
      </c>
      <c r="H685" s="81">
        <f t="shared" si="610"/>
        <v>33636</v>
      </c>
      <c r="I685" s="117"/>
      <c r="J685" s="117"/>
      <c r="K685" s="77">
        <f t="shared" si="608"/>
        <v>39172.845744680846</v>
      </c>
      <c r="L685" s="23">
        <f t="shared" si="609"/>
        <v>2193.6170212765956</v>
      </c>
      <c r="M685" s="31">
        <f>(H685-H671)/H671</f>
        <v>5.3501509400125536E-3</v>
      </c>
      <c r="N685" s="33">
        <f t="shared" si="612"/>
        <v>0.12795839816558841</v>
      </c>
      <c r="O685" s="45">
        <f>F685/D685</f>
        <v>166.22340425531914</v>
      </c>
      <c r="P685" s="53">
        <f t="shared" si="614"/>
        <v>7.5775945683802137E-2</v>
      </c>
      <c r="Q685" s="55">
        <f t="shared" si="615"/>
        <v>894.57446808510633</v>
      </c>
      <c r="R685" s="74">
        <f>G685/H685</f>
        <v>43.78936258770365</v>
      </c>
      <c r="S685" s="92">
        <f t="shared" si="617"/>
        <v>30.74468085106383</v>
      </c>
      <c r="T685" s="93">
        <f t="shared" si="618"/>
        <v>2.6063829787234041</v>
      </c>
      <c r="V685" s="108" t="str">
        <f t="shared" si="619"/>
        <v>Canada</v>
      </c>
      <c r="W685" s="109">
        <f t="shared" si="620"/>
        <v>13.21885656371442</v>
      </c>
      <c r="X685" s="103">
        <f t="shared" si="621"/>
        <v>2.9248226950354606E-2</v>
      </c>
    </row>
    <row r="686" spans="2:28" ht="15" thickBot="1" x14ac:dyDescent="0.35">
      <c r="B686" s="6" t="s">
        <v>9</v>
      </c>
      <c r="C686" s="7">
        <v>1637584</v>
      </c>
      <c r="D686" s="7">
        <v>327</v>
      </c>
      <c r="E686" s="7">
        <v>387082</v>
      </c>
      <c r="F686" s="7">
        <v>97293</v>
      </c>
      <c r="G686" s="7">
        <v>13736083</v>
      </c>
      <c r="H686" s="82">
        <f t="shared" si="610"/>
        <v>1153209</v>
      </c>
      <c r="I686" s="117"/>
      <c r="J686" s="117"/>
      <c r="K686" s="78">
        <f t="shared" si="608"/>
        <v>42006.370030581042</v>
      </c>
      <c r="L686" s="24">
        <f t="shared" si="609"/>
        <v>5007.9021406727825</v>
      </c>
      <c r="M686" s="31">
        <f>(H686-H672)/H672</f>
        <v>1.5839108971942201E-2</v>
      </c>
      <c r="N686" s="33">
        <f t="shared" si="612"/>
        <v>0.20086296774193549</v>
      </c>
      <c r="O686" s="46">
        <f>F686/D686</f>
        <v>297.53211009174311</v>
      </c>
      <c r="P686" s="52">
        <f t="shared" si="614"/>
        <v>5.9412524792621324E-2</v>
      </c>
      <c r="Q686" s="54">
        <f t="shared" si="615"/>
        <v>3526.6330275229357</v>
      </c>
      <c r="R686" s="72">
        <f>G686/H686</f>
        <v>11.911182621710376</v>
      </c>
      <c r="S686" s="92">
        <f t="shared" si="617"/>
        <v>107.29969418960245</v>
      </c>
      <c r="T686" s="93">
        <f t="shared" si="618"/>
        <v>5.5626911314984708</v>
      </c>
      <c r="V686" s="108" t="str">
        <f t="shared" si="619"/>
        <v>USA</v>
      </c>
      <c r="W686" s="109">
        <f t="shared" si="620"/>
        <v>28.557091895951555</v>
      </c>
      <c r="X686" s="103">
        <f t="shared" si="621"/>
        <v>6.2267945843520238E-2</v>
      </c>
    </row>
    <row r="687" spans="2:28" ht="15" thickBot="1" x14ac:dyDescent="0.35"/>
    <row r="688" spans="2:28" ht="43.8" thickBot="1" x14ac:dyDescent="0.35">
      <c r="B688" s="96">
        <v>45047</v>
      </c>
      <c r="C688" s="18" t="s">
        <v>8</v>
      </c>
      <c r="D688" s="19" t="s">
        <v>17</v>
      </c>
      <c r="E688" s="19" t="s">
        <v>15</v>
      </c>
      <c r="F688" s="19" t="s">
        <v>16</v>
      </c>
      <c r="G688" s="19" t="s">
        <v>14</v>
      </c>
      <c r="H688" s="20" t="s">
        <v>38</v>
      </c>
      <c r="I688" s="116"/>
      <c r="J688" s="116"/>
      <c r="K688" s="19" t="s">
        <v>21</v>
      </c>
      <c r="L688" s="19" t="s">
        <v>20</v>
      </c>
      <c r="M688" s="19" t="s">
        <v>40</v>
      </c>
      <c r="N688" s="19" t="s">
        <v>32</v>
      </c>
      <c r="O688" s="19" t="s">
        <v>22</v>
      </c>
      <c r="P688" s="51" t="s">
        <v>34</v>
      </c>
      <c r="Q688" s="20" t="s">
        <v>35</v>
      </c>
      <c r="R688" s="63" t="s">
        <v>39</v>
      </c>
      <c r="S688" s="91" t="s">
        <v>43</v>
      </c>
      <c r="T688" s="91" t="s">
        <v>44</v>
      </c>
      <c r="V688" s="104" t="s">
        <v>48</v>
      </c>
      <c r="W688" s="105" t="s">
        <v>49</v>
      </c>
      <c r="X688" s="106" t="s">
        <v>50</v>
      </c>
      <c r="Y688" s="61" t="s">
        <v>52</v>
      </c>
      <c r="Z688" s="61" t="s">
        <v>33</v>
      </c>
      <c r="AA688" s="61" t="s">
        <v>37</v>
      </c>
      <c r="AB688" s="61" t="s">
        <v>54</v>
      </c>
    </row>
    <row r="689" spans="2:28" x14ac:dyDescent="0.3">
      <c r="B689" s="3" t="s">
        <v>0</v>
      </c>
      <c r="C689" s="1">
        <v>25040</v>
      </c>
      <c r="D689" s="14">
        <v>14.45</v>
      </c>
      <c r="E689" s="1">
        <v>19146</v>
      </c>
      <c r="F689" s="1">
        <v>2048</v>
      </c>
      <c r="G689" s="1">
        <v>599986</v>
      </c>
      <c r="H689" s="118">
        <f>C689-E689-F689</f>
        <v>3846</v>
      </c>
      <c r="I689" s="117"/>
      <c r="J689" s="117"/>
      <c r="K689" s="114">
        <f t="shared" ref="K689:K700" si="622">G689/D689</f>
        <v>41521.522491349482</v>
      </c>
      <c r="L689" s="21">
        <f t="shared" ref="L689:L700" si="623">C689/D689</f>
        <v>1732.8719723183392</v>
      </c>
      <c r="M689" s="31">
        <f>(H689-H675)/H675</f>
        <v>1.5625000000000001E-3</v>
      </c>
      <c r="N689" s="31">
        <f>F689/(E689+F689)</f>
        <v>9.6631122015664817E-2</v>
      </c>
      <c r="O689" s="43">
        <f>F689/D689</f>
        <v>141.73010380622839</v>
      </c>
      <c r="P689" s="49">
        <f>F689/C689</f>
        <v>8.1789137380191695E-2</v>
      </c>
      <c r="Q689" s="47">
        <f>(C689-E689-F689)/D689</f>
        <v>266.15916955017303</v>
      </c>
      <c r="R689" s="66">
        <f>G689/H689</f>
        <v>156.00260010400416</v>
      </c>
      <c r="S689" s="92">
        <f>(C689-C675)/D689</f>
        <v>28.512110726643598</v>
      </c>
      <c r="T689" s="93">
        <f>(F689-F675)/D689</f>
        <v>1.8685121107266436</v>
      </c>
      <c r="V689" s="101" t="str">
        <f>B689</f>
        <v>ON</v>
      </c>
      <c r="W689" s="102">
        <f>L689/180+IFERROR((D689*C689*13)/(F689*F689),500)</f>
        <v>10.748531242188744</v>
      </c>
      <c r="X689" s="103">
        <f>L689/75000*K$699/K689</f>
        <v>2.2374798012426436E-2</v>
      </c>
      <c r="Y689" s="122">
        <f>(E689+F689)/C689</f>
        <v>0.84640575079872205</v>
      </c>
      <c r="Z689" s="123">
        <f>N689</f>
        <v>9.6631122015664817E-2</v>
      </c>
      <c r="AA689" s="123">
        <f>P689</f>
        <v>8.1789137380191695E-2</v>
      </c>
      <c r="AB689" s="124">
        <f>X325</f>
        <v>1.5298143513366906E-2</v>
      </c>
    </row>
    <row r="690" spans="2:28" x14ac:dyDescent="0.3">
      <c r="B690" s="5" t="s">
        <v>1</v>
      </c>
      <c r="C690" s="1">
        <v>46838</v>
      </c>
      <c r="D690" s="14">
        <v>8.43</v>
      </c>
      <c r="E690" s="1">
        <v>14044</v>
      </c>
      <c r="F690" s="1">
        <v>3940</v>
      </c>
      <c r="G690" s="1">
        <v>390632</v>
      </c>
      <c r="H690" s="118">
        <f t="shared" ref="H690:H700" si="624">C690-E690-F690</f>
        <v>28854</v>
      </c>
      <c r="I690" s="117"/>
      <c r="J690" s="117"/>
      <c r="K690" s="114">
        <f t="shared" si="622"/>
        <v>46338.315539739029</v>
      </c>
      <c r="L690" s="21">
        <f t="shared" si="623"/>
        <v>5556.1091340450776</v>
      </c>
      <c r="M690" s="31">
        <f t="shared" ref="M690:M696" si="625">(H690-H676)/H676</f>
        <v>1.3950873247355659E-2</v>
      </c>
      <c r="N690" s="31">
        <f t="shared" ref="N690:N700" si="626">F690/(E690+F690)</f>
        <v>0.21908362989323843</v>
      </c>
      <c r="O690" s="43">
        <f t="shared" ref="O690:O698" si="627">F690/D690</f>
        <v>467.3784104389087</v>
      </c>
      <c r="P690" s="49">
        <f t="shared" ref="P690:P700" si="628">F690/C690</f>
        <v>8.4119731841667017E-2</v>
      </c>
      <c r="Q690" s="47">
        <f t="shared" ref="Q690:Q700" si="629">(C690-E690-F690)/D690</f>
        <v>3422.7758007117441</v>
      </c>
      <c r="R690" s="66">
        <f t="shared" ref="R690:R695" si="630">G690/H690</f>
        <v>13.538226935606849</v>
      </c>
      <c r="S690" s="92">
        <f t="shared" ref="S690:S700" si="631">(C690-C676)/D690</f>
        <v>82.680901542111513</v>
      </c>
      <c r="T690" s="93">
        <f t="shared" ref="T690:T700" si="632">(F690-F676)/D690</f>
        <v>8.8967971530249113</v>
      </c>
      <c r="V690" s="98" t="str">
        <f t="shared" ref="V690:V700" si="633">B690</f>
        <v>QC</v>
      </c>
      <c r="W690" s="102">
        <f t="shared" ref="W690:W700" si="634">L690/180+IFERROR((D690*C690*13)/(F690*F690),500)</f>
        <v>31.197929285039184</v>
      </c>
      <c r="X690" s="103">
        <f t="shared" ref="X690:X700" si="635">L690/75000*K$699/K690</f>
        <v>6.4283045028031671E-2</v>
      </c>
      <c r="Y690" s="122">
        <f t="shared" ref="Y690:Y700" si="636">(E690+F690)/C690</f>
        <v>0.38396174046714204</v>
      </c>
      <c r="Z690" s="123">
        <f t="shared" ref="Z690:Z700" si="637">N690</f>
        <v>0.21908362989323843</v>
      </c>
      <c r="AA690" s="123">
        <f t="shared" ref="AA690:AA700" si="638">P690</f>
        <v>8.4119731841667017E-2</v>
      </c>
      <c r="AB690" s="124">
        <f t="shared" ref="AB690:AB700" si="639">X326</f>
        <v>2.7478672878512925E-2</v>
      </c>
    </row>
    <row r="691" spans="2:28" x14ac:dyDescent="0.3">
      <c r="B691" s="5" t="s">
        <v>2</v>
      </c>
      <c r="C691" s="1">
        <v>2517</v>
      </c>
      <c r="D691" s="14">
        <v>5.0199999999999996</v>
      </c>
      <c r="E691" s="1">
        <v>2057</v>
      </c>
      <c r="F691" s="1">
        <v>157</v>
      </c>
      <c r="G691" s="95">
        <v>129942</v>
      </c>
      <c r="H691" s="118">
        <f t="shared" si="624"/>
        <v>303</v>
      </c>
      <c r="I691" s="117"/>
      <c r="J691" s="117"/>
      <c r="K691" s="114">
        <f t="shared" si="622"/>
        <v>25884.860557768927</v>
      </c>
      <c r="L691" s="21">
        <f t="shared" si="623"/>
        <v>501.39442231075702</v>
      </c>
      <c r="M691" s="31">
        <f t="shared" si="625"/>
        <v>-2.2580645161290321E-2</v>
      </c>
      <c r="N691" s="31">
        <f t="shared" si="626"/>
        <v>7.0912375790424573E-2</v>
      </c>
      <c r="O691" s="43">
        <f t="shared" si="627"/>
        <v>31.274900398406377</v>
      </c>
      <c r="P691" s="49">
        <f t="shared" si="628"/>
        <v>6.237584425903854E-2</v>
      </c>
      <c r="Q691" s="47">
        <f t="shared" si="629"/>
        <v>60.358565737051798</v>
      </c>
      <c r="R691" s="66">
        <f t="shared" si="630"/>
        <v>428.85148514851483</v>
      </c>
      <c r="S691" s="92">
        <f t="shared" si="631"/>
        <v>1.9920318725099604</v>
      </c>
      <c r="T691" s="93">
        <f t="shared" si="632"/>
        <v>0.39840637450199207</v>
      </c>
      <c r="V691" s="98" t="str">
        <f t="shared" si="633"/>
        <v>BC</v>
      </c>
      <c r="W691" s="102">
        <f t="shared" si="634"/>
        <v>9.4494630648838243</v>
      </c>
      <c r="X691" s="103">
        <f t="shared" si="635"/>
        <v>1.038483460869776E-2</v>
      </c>
      <c r="Y691" s="122">
        <f t="shared" si="636"/>
        <v>0.87961859356376637</v>
      </c>
      <c r="Z691" s="123">
        <f t="shared" si="637"/>
        <v>7.0912375790424573E-2</v>
      </c>
      <c r="AA691" s="123">
        <f t="shared" si="638"/>
        <v>6.237584425903854E-2</v>
      </c>
      <c r="AB691" s="124">
        <f t="shared" si="639"/>
        <v>6.2997316004636721E-3</v>
      </c>
    </row>
    <row r="692" spans="2:28" x14ac:dyDescent="0.3">
      <c r="B692" s="5" t="s">
        <v>3</v>
      </c>
      <c r="C692" s="1">
        <v>6818</v>
      </c>
      <c r="D692" s="14">
        <v>4.34</v>
      </c>
      <c r="E692" s="1">
        <v>5869</v>
      </c>
      <c r="F692" s="1">
        <v>135</v>
      </c>
      <c r="G692" s="1">
        <v>232774</v>
      </c>
      <c r="H692" s="118">
        <f t="shared" si="624"/>
        <v>814</v>
      </c>
      <c r="I692" s="117"/>
      <c r="J692" s="117"/>
      <c r="K692" s="114">
        <f t="shared" si="622"/>
        <v>53634.562211981567</v>
      </c>
      <c r="L692" s="21">
        <f t="shared" si="623"/>
        <v>1570.9677419354839</v>
      </c>
      <c r="M692" s="31">
        <f t="shared" si="625"/>
        <v>-5.8959537572254334E-2</v>
      </c>
      <c r="N692" s="31">
        <f t="shared" si="626"/>
        <v>2.2485009993337773E-2</v>
      </c>
      <c r="O692" s="43">
        <f t="shared" si="627"/>
        <v>31.105990783410139</v>
      </c>
      <c r="P692" s="49">
        <f t="shared" si="628"/>
        <v>1.9800528014080377E-2</v>
      </c>
      <c r="Q692" s="47">
        <f t="shared" si="629"/>
        <v>187.55760368663596</v>
      </c>
      <c r="R692" s="66">
        <f t="shared" si="630"/>
        <v>285.96314496314494</v>
      </c>
      <c r="S692" s="92">
        <f t="shared" si="631"/>
        <v>4.1474654377880187</v>
      </c>
      <c r="T692" s="93">
        <f t="shared" si="632"/>
        <v>0.2304147465437788</v>
      </c>
      <c r="V692" s="98" t="str">
        <f t="shared" si="633"/>
        <v>AL</v>
      </c>
      <c r="W692" s="102">
        <f t="shared" si="634"/>
        <v>29.834405699367231</v>
      </c>
      <c r="X692" s="103">
        <f t="shared" si="635"/>
        <v>1.570321015721151E-2</v>
      </c>
      <c r="Y692" s="122">
        <f t="shared" si="636"/>
        <v>0.88061014960398942</v>
      </c>
      <c r="Z692" s="123">
        <f t="shared" si="637"/>
        <v>2.2485009993337773E-2</v>
      </c>
      <c r="AA692" s="123">
        <f t="shared" si="638"/>
        <v>1.9800528014080377E-2</v>
      </c>
      <c r="AB692" s="124">
        <f t="shared" si="639"/>
        <v>7.5818259154218828E-3</v>
      </c>
    </row>
    <row r="693" spans="2:28" x14ac:dyDescent="0.3">
      <c r="B693" s="5" t="s">
        <v>4</v>
      </c>
      <c r="C693" s="1">
        <v>292</v>
      </c>
      <c r="D693" s="14">
        <v>1.36</v>
      </c>
      <c r="E693" s="1">
        <v>268</v>
      </c>
      <c r="F693" s="1">
        <v>7</v>
      </c>
      <c r="G693" s="1">
        <v>37870</v>
      </c>
      <c r="H693" s="118">
        <f t="shared" si="624"/>
        <v>17</v>
      </c>
      <c r="I693" s="117"/>
      <c r="J693" s="117"/>
      <c r="K693" s="114">
        <f t="shared" si="622"/>
        <v>27845.588235294115</v>
      </c>
      <c r="L693" s="21">
        <f t="shared" si="623"/>
        <v>214.70588235294116</v>
      </c>
      <c r="M693" s="31">
        <f t="shared" si="625"/>
        <v>-5.5555555555555552E-2</v>
      </c>
      <c r="N693" s="31">
        <f t="shared" si="626"/>
        <v>2.5454545454545455E-2</v>
      </c>
      <c r="O693" s="43">
        <f t="shared" si="627"/>
        <v>5.1470588235294112</v>
      </c>
      <c r="P693" s="49">
        <f t="shared" si="628"/>
        <v>2.3972602739726026E-2</v>
      </c>
      <c r="Q693" s="47">
        <f t="shared" si="629"/>
        <v>12.499999999999998</v>
      </c>
      <c r="R693" s="66">
        <f t="shared" si="630"/>
        <v>2227.6470588235293</v>
      </c>
      <c r="S693" s="92">
        <f t="shared" si="631"/>
        <v>0</v>
      </c>
      <c r="T693" s="93">
        <f t="shared" si="632"/>
        <v>0</v>
      </c>
      <c r="V693" s="98" t="str">
        <f t="shared" si="633"/>
        <v>MA</v>
      </c>
      <c r="W693" s="102">
        <f t="shared" si="634"/>
        <v>106.55117780445512</v>
      </c>
      <c r="X693" s="103">
        <f t="shared" si="635"/>
        <v>4.1338380836268909E-3</v>
      </c>
      <c r="Y693" s="122">
        <f t="shared" si="636"/>
        <v>0.94178082191780821</v>
      </c>
      <c r="Z693" s="123">
        <f t="shared" si="637"/>
        <v>2.5454545454545455E-2</v>
      </c>
      <c r="AA693" s="123">
        <f t="shared" si="638"/>
        <v>2.3972602739726026E-2</v>
      </c>
      <c r="AB693" s="124">
        <f t="shared" si="639"/>
        <v>2.8338334714499798E-3</v>
      </c>
    </row>
    <row r="694" spans="2:28" x14ac:dyDescent="0.3">
      <c r="B694" s="5" t="s">
        <v>5</v>
      </c>
      <c r="C694" s="1">
        <v>630</v>
      </c>
      <c r="D694" s="14">
        <v>1.17</v>
      </c>
      <c r="E694" s="1">
        <v>535</v>
      </c>
      <c r="F694" s="1">
        <v>7</v>
      </c>
      <c r="G694" s="1">
        <v>43419</v>
      </c>
      <c r="H694" s="118">
        <f t="shared" si="624"/>
        <v>88</v>
      </c>
      <c r="I694" s="117"/>
      <c r="J694" s="117"/>
      <c r="K694" s="114">
        <f t="shared" si="622"/>
        <v>37110.256410256414</v>
      </c>
      <c r="L694" s="21">
        <f t="shared" si="623"/>
        <v>538.46153846153845</v>
      </c>
      <c r="M694" s="31">
        <f t="shared" si="625"/>
        <v>-0.1111111111111111</v>
      </c>
      <c r="N694" s="31">
        <f t="shared" si="626"/>
        <v>1.2915129151291513E-2</v>
      </c>
      <c r="O694" s="43">
        <f t="shared" si="627"/>
        <v>5.982905982905983</v>
      </c>
      <c r="P694" s="49">
        <f t="shared" si="628"/>
        <v>1.1111111111111112E-2</v>
      </c>
      <c r="Q694" s="47">
        <f t="shared" si="629"/>
        <v>75.213675213675216</v>
      </c>
      <c r="R694" s="66">
        <f t="shared" si="630"/>
        <v>493.39772727272725</v>
      </c>
      <c r="S694" s="92">
        <f t="shared" si="631"/>
        <v>2.5641025641025643</v>
      </c>
      <c r="T694" s="93">
        <f t="shared" si="632"/>
        <v>0</v>
      </c>
      <c r="V694" s="98" t="str">
        <f t="shared" si="633"/>
        <v>SA</v>
      </c>
      <c r="W694" s="102">
        <f t="shared" si="634"/>
        <v>198.54859584859585</v>
      </c>
      <c r="X694" s="103">
        <f t="shared" si="635"/>
        <v>7.7790515280838418E-3</v>
      </c>
      <c r="Y694" s="122">
        <f t="shared" si="636"/>
        <v>0.86031746031746037</v>
      </c>
      <c r="Z694" s="123">
        <f t="shared" si="637"/>
        <v>1.2915129151291513E-2</v>
      </c>
      <c r="AA694" s="123">
        <f t="shared" si="638"/>
        <v>1.1111111111111112E-2</v>
      </c>
      <c r="AB694" s="124">
        <f t="shared" si="639"/>
        <v>2.9595173812594026E-3</v>
      </c>
    </row>
    <row r="695" spans="2:28" x14ac:dyDescent="0.3">
      <c r="B695" s="5" t="s">
        <v>6</v>
      </c>
      <c r="C695" s="1">
        <v>1049</v>
      </c>
      <c r="D695" s="14">
        <v>0.96499999999999997</v>
      </c>
      <c r="E695" s="1">
        <v>969</v>
      </c>
      <c r="F695" s="1">
        <v>58</v>
      </c>
      <c r="G695" s="1">
        <f>37671+C695</f>
        <v>38720</v>
      </c>
      <c r="H695" s="118">
        <f t="shared" si="624"/>
        <v>22</v>
      </c>
      <c r="I695" s="117"/>
      <c r="J695" s="117"/>
      <c r="K695" s="114">
        <f t="shared" si="622"/>
        <v>40124.35233160622</v>
      </c>
      <c r="L695" s="21">
        <f t="shared" si="623"/>
        <v>1087.0466321243523</v>
      </c>
      <c r="M695" s="31">
        <f t="shared" si="625"/>
        <v>-0.2413793103448276</v>
      </c>
      <c r="N695" s="31">
        <f t="shared" si="626"/>
        <v>5.6475170399221029E-2</v>
      </c>
      <c r="O695" s="43">
        <f t="shared" si="627"/>
        <v>60.103626943005182</v>
      </c>
      <c r="P695" s="49">
        <f t="shared" si="628"/>
        <v>5.5290753098188754E-2</v>
      </c>
      <c r="Q695" s="47">
        <f t="shared" si="629"/>
        <v>22.797927461139896</v>
      </c>
      <c r="R695" s="66">
        <f t="shared" si="630"/>
        <v>1760</v>
      </c>
      <c r="S695" s="92">
        <f t="shared" si="631"/>
        <v>1.0362694300518136</v>
      </c>
      <c r="T695" s="93">
        <f t="shared" si="632"/>
        <v>0</v>
      </c>
      <c r="V695" s="98" t="str">
        <f t="shared" si="633"/>
        <v>NS</v>
      </c>
      <c r="W695" s="102">
        <f t="shared" si="634"/>
        <v>9.9510697755091844</v>
      </c>
      <c r="X695" s="103">
        <f t="shared" si="635"/>
        <v>1.4524662680968291E-2</v>
      </c>
      <c r="Y695" s="122">
        <f t="shared" si="636"/>
        <v>0.97902764537654907</v>
      </c>
      <c r="Z695" s="123">
        <f t="shared" si="637"/>
        <v>5.6475170399221029E-2</v>
      </c>
      <c r="AA695" s="123">
        <f t="shared" si="638"/>
        <v>5.5290753098188754E-2</v>
      </c>
      <c r="AB695" s="124">
        <f t="shared" si="639"/>
        <v>7.7899634184870788E-3</v>
      </c>
    </row>
    <row r="696" spans="2:28" x14ac:dyDescent="0.3">
      <c r="B696" s="5" t="s">
        <v>7</v>
      </c>
      <c r="C696" s="1">
        <v>121</v>
      </c>
      <c r="D696" s="14">
        <v>0.77200000000000002</v>
      </c>
      <c r="E696" s="1">
        <v>120</v>
      </c>
      <c r="F696" s="1">
        <v>0</v>
      </c>
      <c r="G696" s="1">
        <v>21989</v>
      </c>
      <c r="H696" s="118">
        <f t="shared" si="624"/>
        <v>1</v>
      </c>
      <c r="I696" s="117"/>
      <c r="J696" s="117"/>
      <c r="K696" s="114">
        <f t="shared" si="622"/>
        <v>28483.160621761657</v>
      </c>
      <c r="L696" s="21">
        <f t="shared" si="623"/>
        <v>156.7357512953368</v>
      </c>
      <c r="M696" s="31">
        <f t="shared" si="625"/>
        <v>0</v>
      </c>
      <c r="N696" s="31">
        <f t="shared" si="626"/>
        <v>0</v>
      </c>
      <c r="O696" s="43">
        <f t="shared" si="627"/>
        <v>0</v>
      </c>
      <c r="P696" s="49">
        <f t="shared" si="628"/>
        <v>0</v>
      </c>
      <c r="Q696" s="47">
        <f t="shared" si="629"/>
        <v>1.2953367875647668</v>
      </c>
      <c r="R696" s="66">
        <f>IFERROR(G696/H696,20000)</f>
        <v>21989</v>
      </c>
      <c r="S696" s="92">
        <f t="shared" si="631"/>
        <v>0</v>
      </c>
      <c r="T696" s="93">
        <f t="shared" si="632"/>
        <v>0</v>
      </c>
      <c r="V696" s="98" t="str">
        <f t="shared" si="633"/>
        <v>NB</v>
      </c>
      <c r="W696" s="102">
        <f t="shared" si="634"/>
        <v>500.87075417386296</v>
      </c>
      <c r="X696" s="103">
        <f t="shared" si="635"/>
        <v>2.9501616056255083E-3</v>
      </c>
      <c r="Y696" s="122">
        <f t="shared" si="636"/>
        <v>0.99173553719008267</v>
      </c>
      <c r="Z696" s="123">
        <f t="shared" si="637"/>
        <v>0</v>
      </c>
      <c r="AA696" s="123">
        <f t="shared" si="638"/>
        <v>0</v>
      </c>
      <c r="AB696" s="124">
        <f t="shared" si="639"/>
        <v>2.2720468555007338E-3</v>
      </c>
    </row>
    <row r="697" spans="2:28" x14ac:dyDescent="0.3">
      <c r="B697" s="5" t="s">
        <v>18</v>
      </c>
      <c r="C697" s="9">
        <v>27</v>
      </c>
      <c r="D697" s="15">
        <v>0.154</v>
      </c>
      <c r="E697" s="9">
        <v>27</v>
      </c>
      <c r="F697" s="9">
        <v>0</v>
      </c>
      <c r="G697" s="9">
        <v>5432</v>
      </c>
      <c r="H697" s="118">
        <f t="shared" si="624"/>
        <v>0</v>
      </c>
      <c r="I697" s="117"/>
      <c r="J697" s="117"/>
      <c r="K697" s="115">
        <f t="shared" si="622"/>
        <v>35272.727272727272</v>
      </c>
      <c r="L697" s="22">
        <f t="shared" si="623"/>
        <v>175.32467532467533</v>
      </c>
      <c r="M697" s="31">
        <v>0</v>
      </c>
      <c r="N697" s="31">
        <f t="shared" si="626"/>
        <v>0</v>
      </c>
      <c r="O697" s="44">
        <f t="shared" si="627"/>
        <v>0</v>
      </c>
      <c r="P697" s="49">
        <f t="shared" si="628"/>
        <v>0</v>
      </c>
      <c r="Q697" s="47">
        <f t="shared" si="629"/>
        <v>0</v>
      </c>
      <c r="R697" s="66">
        <f>IFERROR(G697/H697,20000)</f>
        <v>20000</v>
      </c>
      <c r="S697" s="92">
        <f t="shared" si="631"/>
        <v>0</v>
      </c>
      <c r="T697" s="93">
        <f t="shared" si="632"/>
        <v>0</v>
      </c>
      <c r="V697" s="98" t="str">
        <f t="shared" si="633"/>
        <v>PEI</v>
      </c>
      <c r="W697" s="102">
        <f t="shared" si="634"/>
        <v>500.97402597402595</v>
      </c>
      <c r="X697" s="103">
        <f t="shared" si="635"/>
        <v>2.6648325133957949E-3</v>
      </c>
      <c r="Y697" s="122">
        <f t="shared" si="636"/>
        <v>1</v>
      </c>
      <c r="Z697" s="123">
        <f t="shared" si="637"/>
        <v>0</v>
      </c>
      <c r="AA697" s="123">
        <f t="shared" si="638"/>
        <v>0</v>
      </c>
      <c r="AB697" s="124">
        <f t="shared" si="639"/>
        <v>2.3651020880570499E-3</v>
      </c>
    </row>
    <row r="698" spans="2:28" ht="15" thickBot="1" x14ac:dyDescent="0.35">
      <c r="B698" s="5" t="s">
        <v>11</v>
      </c>
      <c r="C698" s="9">
        <v>260</v>
      </c>
      <c r="D698" s="15">
        <v>0.52400000000000002</v>
      </c>
      <c r="E698" s="9">
        <v>254</v>
      </c>
      <c r="F698" s="9">
        <v>3</v>
      </c>
      <c r="G698" s="9">
        <v>11108</v>
      </c>
      <c r="H698" s="119">
        <f t="shared" si="624"/>
        <v>3</v>
      </c>
      <c r="I698" s="117"/>
      <c r="J698" s="117"/>
      <c r="K698" s="115">
        <f t="shared" si="622"/>
        <v>21198.473282442748</v>
      </c>
      <c r="L698" s="22">
        <f t="shared" si="623"/>
        <v>496.18320610687022</v>
      </c>
      <c r="M698" s="31">
        <f>(H698-H684)/H684</f>
        <v>-0.25</v>
      </c>
      <c r="N698" s="32">
        <f t="shared" si="626"/>
        <v>1.1673151750972763E-2</v>
      </c>
      <c r="O698" s="44">
        <f t="shared" si="627"/>
        <v>5.7251908396946565</v>
      </c>
      <c r="P698" s="50">
        <f t="shared" si="628"/>
        <v>1.1538461538461539E-2</v>
      </c>
      <c r="Q698" s="48">
        <f t="shared" si="629"/>
        <v>5.7251908396946565</v>
      </c>
      <c r="R698" s="67">
        <f>G698/H698</f>
        <v>3702.6666666666665</v>
      </c>
      <c r="S698" s="92">
        <f t="shared" si="631"/>
        <v>0</v>
      </c>
      <c r="T698" s="93">
        <f t="shared" si="632"/>
        <v>0</v>
      </c>
      <c r="V698" s="99" t="str">
        <f t="shared" si="633"/>
        <v>NFLD</v>
      </c>
      <c r="W698" s="120">
        <f t="shared" si="634"/>
        <v>199.54768447837151</v>
      </c>
      <c r="X698" s="103">
        <f t="shared" si="635"/>
        <v>1.2548834524730754E-2</v>
      </c>
      <c r="Y698" s="122">
        <f t="shared" si="636"/>
        <v>0.9884615384615385</v>
      </c>
      <c r="Z698" s="123">
        <f t="shared" si="637"/>
        <v>1.1673151750972763E-2</v>
      </c>
      <c r="AA698" s="123">
        <f t="shared" si="638"/>
        <v>1.1538461538461539E-2</v>
      </c>
      <c r="AB698" s="124">
        <f t="shared" si="639"/>
        <v>8.5800123717865735E-3</v>
      </c>
    </row>
    <row r="699" spans="2:28" ht="15" thickBot="1" x14ac:dyDescent="0.35">
      <c r="B699" s="11" t="s">
        <v>10</v>
      </c>
      <c r="C699" s="12">
        <v>83590</v>
      </c>
      <c r="D699" s="16">
        <v>37.6</v>
      </c>
      <c r="E699" s="12">
        <v>43207</v>
      </c>
      <c r="F699" s="12">
        <v>6352</v>
      </c>
      <c r="G699" s="12">
        <f>SUM(G689:G698)</f>
        <v>1511872</v>
      </c>
      <c r="H699" s="81">
        <f t="shared" si="624"/>
        <v>34031</v>
      </c>
      <c r="I699" s="117"/>
      <c r="J699" s="117"/>
      <c r="K699" s="77">
        <f t="shared" si="622"/>
        <v>40209.361702127659</v>
      </c>
      <c r="L699" s="23">
        <f t="shared" si="623"/>
        <v>2223.1382978723404</v>
      </c>
      <c r="M699" s="31">
        <f>(H699-H685)/H685</f>
        <v>1.1743370198596741E-2</v>
      </c>
      <c r="N699" s="33">
        <f t="shared" si="626"/>
        <v>0.12817046348796385</v>
      </c>
      <c r="O699" s="45">
        <f>F699/D699</f>
        <v>168.93617021276594</v>
      </c>
      <c r="P699" s="53">
        <f t="shared" si="628"/>
        <v>7.5989950951070709E-2</v>
      </c>
      <c r="Q699" s="55">
        <f t="shared" si="629"/>
        <v>905.07978723404256</v>
      </c>
      <c r="R699" s="74">
        <f>G699/H699</f>
        <v>44.426317181393436</v>
      </c>
      <c r="S699" s="92">
        <f t="shared" si="631"/>
        <v>29.521276595744681</v>
      </c>
      <c r="T699" s="93">
        <f t="shared" si="632"/>
        <v>2.7127659574468086</v>
      </c>
      <c r="V699" s="108" t="str">
        <f t="shared" si="633"/>
        <v>Canada</v>
      </c>
      <c r="W699" s="109">
        <f t="shared" si="634"/>
        <v>13.363430391889695</v>
      </c>
      <c r="X699" s="103">
        <f t="shared" si="635"/>
        <v>2.9641843971631211E-2</v>
      </c>
      <c r="Y699" s="122">
        <f t="shared" si="636"/>
        <v>0.59288192367508075</v>
      </c>
      <c r="Z699" s="123">
        <f t="shared" si="637"/>
        <v>0.12817046348796385</v>
      </c>
      <c r="AA699" s="123">
        <f t="shared" si="638"/>
        <v>7.5989950951070709E-2</v>
      </c>
      <c r="AB699" s="124">
        <f t="shared" si="639"/>
        <v>1.4932624113475176E-2</v>
      </c>
    </row>
    <row r="700" spans="2:28" ht="15" thickBot="1" x14ac:dyDescent="0.35">
      <c r="B700" s="6" t="s">
        <v>9</v>
      </c>
      <c r="C700" s="7">
        <v>1660531</v>
      </c>
      <c r="D700" s="7">
        <v>327</v>
      </c>
      <c r="E700" s="7">
        <v>439487</v>
      </c>
      <c r="F700" s="7">
        <v>98431</v>
      </c>
      <c r="G700" s="7">
        <v>14234295</v>
      </c>
      <c r="H700" s="82">
        <f t="shared" si="624"/>
        <v>1122613</v>
      </c>
      <c r="I700" s="117"/>
      <c r="J700" s="117"/>
      <c r="K700" s="78">
        <f t="shared" si="622"/>
        <v>43529.954128440368</v>
      </c>
      <c r="L700" s="24">
        <f t="shared" si="623"/>
        <v>5078.0764525993882</v>
      </c>
      <c r="M700" s="31">
        <f>(H700-H686)/H686</f>
        <v>-2.6531183853056993E-2</v>
      </c>
      <c r="N700" s="33">
        <f t="shared" si="626"/>
        <v>0.18298513899888086</v>
      </c>
      <c r="O700" s="46">
        <f>F700/D700</f>
        <v>301.01223241590213</v>
      </c>
      <c r="P700" s="52">
        <f t="shared" si="628"/>
        <v>5.9276821691374625E-2</v>
      </c>
      <c r="Q700" s="54">
        <f t="shared" si="629"/>
        <v>3433.0672782874617</v>
      </c>
      <c r="R700" s="72">
        <f>G700/H700</f>
        <v>12.679609981355997</v>
      </c>
      <c r="S700" s="92">
        <f t="shared" si="631"/>
        <v>70.174311926605498</v>
      </c>
      <c r="T700" s="93">
        <f t="shared" si="632"/>
        <v>3.4801223241590216</v>
      </c>
      <c r="V700" s="108" t="str">
        <f t="shared" si="633"/>
        <v>USA</v>
      </c>
      <c r="W700" s="109">
        <f t="shared" si="634"/>
        <v>28.940110903352686</v>
      </c>
      <c r="X700" s="103">
        <f t="shared" si="635"/>
        <v>6.2542745387432944E-2</v>
      </c>
      <c r="Y700" s="122">
        <f t="shared" si="636"/>
        <v>0.32394336510429494</v>
      </c>
      <c r="Z700" s="123">
        <f t="shared" si="637"/>
        <v>0.18298513899888086</v>
      </c>
      <c r="AA700" s="123">
        <f t="shared" si="638"/>
        <v>5.9276821691374625E-2</v>
      </c>
      <c r="AB700" s="124">
        <f t="shared" si="639"/>
        <v>4.265476931738587E-2</v>
      </c>
    </row>
    <row r="701" spans="2:28" ht="15" thickBot="1" x14ac:dyDescent="0.35"/>
    <row r="702" spans="2:28" ht="43.8" thickBot="1" x14ac:dyDescent="0.35">
      <c r="B702" s="96">
        <v>45778</v>
      </c>
      <c r="C702" s="18" t="s">
        <v>8</v>
      </c>
      <c r="D702" s="19" t="s">
        <v>17</v>
      </c>
      <c r="E702" s="19" t="s">
        <v>15</v>
      </c>
      <c r="F702" s="19" t="s">
        <v>16</v>
      </c>
      <c r="G702" s="19" t="s">
        <v>14</v>
      </c>
      <c r="H702" s="20" t="s">
        <v>38</v>
      </c>
      <c r="I702" s="116"/>
      <c r="J702" s="116"/>
      <c r="K702" s="19" t="s">
        <v>21</v>
      </c>
      <c r="L702" s="19" t="s">
        <v>20</v>
      </c>
      <c r="M702" s="19" t="s">
        <v>40</v>
      </c>
      <c r="N702" s="19" t="s">
        <v>32</v>
      </c>
      <c r="O702" s="19" t="s">
        <v>22</v>
      </c>
      <c r="P702" s="51" t="s">
        <v>34</v>
      </c>
      <c r="Q702" s="20" t="s">
        <v>35</v>
      </c>
      <c r="R702" s="63" t="s">
        <v>39</v>
      </c>
      <c r="S702" s="91" t="s">
        <v>43</v>
      </c>
      <c r="T702" s="91" t="s">
        <v>44</v>
      </c>
      <c r="V702" s="104" t="s">
        <v>48</v>
      </c>
      <c r="W702" s="105" t="s">
        <v>49</v>
      </c>
      <c r="X702" s="106" t="s">
        <v>50</v>
      </c>
      <c r="Y702" s="61" t="s">
        <v>52</v>
      </c>
      <c r="Z702" s="61" t="s">
        <v>33</v>
      </c>
      <c r="AA702" s="61" t="s">
        <v>37</v>
      </c>
      <c r="AB702" s="61" t="s">
        <v>54</v>
      </c>
    </row>
    <row r="703" spans="2:28" x14ac:dyDescent="0.3">
      <c r="B703" s="3" t="s">
        <v>0</v>
      </c>
      <c r="C703" s="1">
        <v>25904</v>
      </c>
      <c r="D703" s="14">
        <v>14.45</v>
      </c>
      <c r="E703" s="1">
        <v>19698</v>
      </c>
      <c r="F703" s="1">
        <v>2102</v>
      </c>
      <c r="G703" s="1">
        <v>619539</v>
      </c>
      <c r="H703" s="118">
        <f>C703-E703-F703</f>
        <v>4104</v>
      </c>
      <c r="I703" s="117"/>
      <c r="J703" s="117"/>
      <c r="K703" s="114">
        <f t="shared" ref="K703:K714" si="640">G703/D703</f>
        <v>42874.671280276816</v>
      </c>
      <c r="L703" s="21">
        <f t="shared" ref="L703:L714" si="641">C703/D703</f>
        <v>1792.6643598615917</v>
      </c>
      <c r="M703" s="31">
        <f>(H703-H689)/H689</f>
        <v>6.7082683307332289E-2</v>
      </c>
      <c r="N703" s="31">
        <f>F703/(E703+F703)</f>
        <v>9.642201834862385E-2</v>
      </c>
      <c r="O703" s="43">
        <f>F703/D703</f>
        <v>145.46712802768167</v>
      </c>
      <c r="P703" s="49">
        <f>F703/C703</f>
        <v>8.1145768993205677E-2</v>
      </c>
      <c r="Q703" s="47">
        <f>(C703-E703-F703)/D703</f>
        <v>284.01384083044985</v>
      </c>
      <c r="R703" s="66">
        <f>G703/H703</f>
        <v>150.95979532163742</v>
      </c>
      <c r="S703" s="92">
        <f>(C703-C689)/D703/2</f>
        <v>29.896193771626297</v>
      </c>
      <c r="T703" s="93">
        <f>(F703-F689)/D703/2</f>
        <v>1.8685121107266436</v>
      </c>
      <c r="V703" s="101" t="str">
        <f>B703</f>
        <v>ON</v>
      </c>
      <c r="W703" s="102">
        <f>L703/180+IFERROR((D703*C703*13)/(F703*F703),500)</f>
        <v>11.060564114037929</v>
      </c>
      <c r="X703" s="103">
        <f>L703/75000*K$713/K703</f>
        <v>2.294150548613709E-2</v>
      </c>
      <c r="Y703" s="122">
        <f>(E703+F703)/C703</f>
        <v>0.84156886967263744</v>
      </c>
      <c r="Z703" s="123">
        <f>N703</f>
        <v>9.642201834862385E-2</v>
      </c>
      <c r="AA703" s="123">
        <f>P703</f>
        <v>8.1145768993205677E-2</v>
      </c>
      <c r="AB703" s="124">
        <f>X339</f>
        <v>0</v>
      </c>
    </row>
    <row r="704" spans="2:28" x14ac:dyDescent="0.3">
      <c r="B704" s="5" t="s">
        <v>1</v>
      </c>
      <c r="C704" s="1">
        <v>47984</v>
      </c>
      <c r="D704" s="14">
        <v>8.43</v>
      </c>
      <c r="E704" s="1">
        <v>14654</v>
      </c>
      <c r="F704" s="1">
        <v>4069</v>
      </c>
      <c r="G704" s="1">
        <f>390632</f>
        <v>390632</v>
      </c>
      <c r="H704" s="118">
        <f t="shared" ref="H704:H714" si="642">C704-E704-F704</f>
        <v>29261</v>
      </c>
      <c r="I704" s="117"/>
      <c r="J704" s="117"/>
      <c r="K704" s="114">
        <f t="shared" si="640"/>
        <v>46338.315539739029</v>
      </c>
      <c r="L704" s="21">
        <f t="shared" si="641"/>
        <v>5692.0521945432984</v>
      </c>
      <c r="M704" s="31">
        <f t="shared" ref="M704:M710" si="643">(H704-H690)/H690</f>
        <v>1.4105496638247729E-2</v>
      </c>
      <c r="N704" s="31">
        <f t="shared" ref="N704:N714" si="644">F704/(E704+F704)</f>
        <v>0.21732628318111413</v>
      </c>
      <c r="O704" s="43">
        <f t="shared" ref="O704:O712" si="645">F704/D704</f>
        <v>482.68090154211154</v>
      </c>
      <c r="P704" s="49">
        <f t="shared" ref="P704:P714" si="646">F704/C704</f>
        <v>8.479909969989996E-2</v>
      </c>
      <c r="Q704" s="47">
        <f t="shared" ref="Q704:Q714" si="647">(C704-E704-F704)/D704</f>
        <v>3471.0557532621592</v>
      </c>
      <c r="R704" s="66">
        <f t="shared" ref="R704:R709" si="648">G704/H704</f>
        <v>13.349919688322339</v>
      </c>
      <c r="S704" s="92">
        <f t="shared" ref="S704:S714" si="649">(C704-C690)/D704/2</f>
        <v>67.971530249110316</v>
      </c>
      <c r="T704" s="93">
        <f t="shared" ref="T704:T714" si="650">(F704-F690)/D704/2</f>
        <v>7.6512455516014235</v>
      </c>
      <c r="V704" s="98" t="str">
        <f t="shared" ref="V704:V714" si="651">B704</f>
        <v>QC</v>
      </c>
      <c r="W704" s="102">
        <f t="shared" ref="W704:W714" si="652">L704/180+IFERROR((D704*C704*13)/(F704*F704),500)</f>
        <v>31.940120603359187</v>
      </c>
      <c r="X704" s="103">
        <f t="shared" ref="X704:X714" si="653">L704/75000*K$713/K704</f>
        <v>6.7398831063216855E-2</v>
      </c>
      <c r="Y704" s="122">
        <f t="shared" ref="Y704:Y714" si="654">(E704+F704)/C704</f>
        <v>0.3901925641880627</v>
      </c>
      <c r="Z704" s="123">
        <f t="shared" ref="Z704:Z714" si="655">N704</f>
        <v>0.21732628318111413</v>
      </c>
      <c r="AA704" s="123">
        <f t="shared" ref="AA704:AA714" si="656">P704</f>
        <v>8.479909969989996E-2</v>
      </c>
      <c r="AB704" s="124">
        <f t="shared" ref="AB704:AB714" si="657">X340</f>
        <v>0</v>
      </c>
    </row>
    <row r="705" spans="2:28" x14ac:dyDescent="0.3">
      <c r="B705" s="5" t="s">
        <v>2</v>
      </c>
      <c r="C705" s="1">
        <v>2529</v>
      </c>
      <c r="D705" s="14">
        <v>5.0199999999999996</v>
      </c>
      <c r="E705" s="1">
        <v>2102</v>
      </c>
      <c r="F705" s="1">
        <v>161</v>
      </c>
      <c r="G705" s="95">
        <v>135190</v>
      </c>
      <c r="H705" s="118">
        <f t="shared" si="642"/>
        <v>266</v>
      </c>
      <c r="I705" s="117"/>
      <c r="J705" s="117"/>
      <c r="K705" s="114">
        <f t="shared" si="640"/>
        <v>26930.278884462154</v>
      </c>
      <c r="L705" s="21">
        <f t="shared" si="641"/>
        <v>503.78486055776898</v>
      </c>
      <c r="M705" s="31">
        <f t="shared" si="643"/>
        <v>-0.12211221122112212</v>
      </c>
      <c r="N705" s="31">
        <f t="shared" si="644"/>
        <v>7.1144498453380473E-2</v>
      </c>
      <c r="O705" s="43">
        <f t="shared" si="645"/>
        <v>32.071713147410364</v>
      </c>
      <c r="P705" s="49">
        <f t="shared" si="646"/>
        <v>6.3661526294978246E-2</v>
      </c>
      <c r="Q705" s="47">
        <f t="shared" si="647"/>
        <v>52.988047808764946</v>
      </c>
      <c r="R705" s="66">
        <f t="shared" si="648"/>
        <v>508.23308270676694</v>
      </c>
      <c r="S705" s="92">
        <f t="shared" si="649"/>
        <v>1.1952191235059761</v>
      </c>
      <c r="T705" s="93">
        <f t="shared" si="650"/>
        <v>0.39840637450199207</v>
      </c>
      <c r="V705" s="98" t="str">
        <f t="shared" si="651"/>
        <v>BC</v>
      </c>
      <c r="W705" s="102">
        <f t="shared" si="652"/>
        <v>9.1659410796304002</v>
      </c>
      <c r="X705" s="103">
        <f t="shared" si="653"/>
        <v>1.0264268271762517E-2</v>
      </c>
      <c r="Y705" s="122">
        <f t="shared" si="654"/>
        <v>0.89482008699090554</v>
      </c>
      <c r="Z705" s="123">
        <f t="shared" si="655"/>
        <v>7.1144498453380473E-2</v>
      </c>
      <c r="AA705" s="123">
        <f t="shared" si="656"/>
        <v>6.3661526294978246E-2</v>
      </c>
      <c r="AB705" s="124">
        <f t="shared" si="657"/>
        <v>0</v>
      </c>
    </row>
    <row r="706" spans="2:28" x14ac:dyDescent="0.3">
      <c r="B706" s="5" t="s">
        <v>3</v>
      </c>
      <c r="C706" s="1">
        <v>6879</v>
      </c>
      <c r="D706" s="14">
        <v>4.34</v>
      </c>
      <c r="E706" s="1">
        <v>5979</v>
      </c>
      <c r="F706" s="1">
        <v>138</v>
      </c>
      <c r="G706" s="1">
        <v>239799</v>
      </c>
      <c r="H706" s="118">
        <f t="shared" si="642"/>
        <v>762</v>
      </c>
      <c r="I706" s="117"/>
      <c r="J706" s="117"/>
      <c r="K706" s="114">
        <f t="shared" si="640"/>
        <v>55253.225806451614</v>
      </c>
      <c r="L706" s="21">
        <f t="shared" si="641"/>
        <v>1585.0230414746545</v>
      </c>
      <c r="M706" s="31">
        <f t="shared" si="643"/>
        <v>-6.3882063882063883E-2</v>
      </c>
      <c r="N706" s="31">
        <f t="shared" si="644"/>
        <v>2.2560078469838155E-2</v>
      </c>
      <c r="O706" s="43">
        <f t="shared" si="645"/>
        <v>31.797235023041477</v>
      </c>
      <c r="P706" s="49">
        <f t="shared" si="646"/>
        <v>2.006105538595726E-2</v>
      </c>
      <c r="Q706" s="47">
        <f t="shared" si="647"/>
        <v>175.57603686635946</v>
      </c>
      <c r="R706" s="66">
        <f t="shared" si="648"/>
        <v>314.6968503937008</v>
      </c>
      <c r="S706" s="92">
        <f t="shared" si="649"/>
        <v>7.0276497695852536</v>
      </c>
      <c r="T706" s="93">
        <f t="shared" si="650"/>
        <v>0.34562211981566821</v>
      </c>
      <c r="V706" s="98" t="str">
        <f t="shared" si="651"/>
        <v>AL</v>
      </c>
      <c r="W706" s="102">
        <f t="shared" si="652"/>
        <v>29.185497678429869</v>
      </c>
      <c r="X706" s="103">
        <f t="shared" si="653"/>
        <v>1.5739889347044463E-2</v>
      </c>
      <c r="Y706" s="122">
        <f t="shared" si="654"/>
        <v>0.88922808547754029</v>
      </c>
      <c r="Z706" s="123">
        <f t="shared" si="655"/>
        <v>2.2560078469838155E-2</v>
      </c>
      <c r="AA706" s="123">
        <f t="shared" si="656"/>
        <v>2.006105538595726E-2</v>
      </c>
      <c r="AB706" s="124">
        <f t="shared" si="657"/>
        <v>0</v>
      </c>
    </row>
    <row r="707" spans="2:28" x14ac:dyDescent="0.3">
      <c r="B707" s="5" t="s">
        <v>4</v>
      </c>
      <c r="C707" s="1">
        <v>292</v>
      </c>
      <c r="D707" s="14">
        <v>1.36</v>
      </c>
      <c r="E707" s="1">
        <v>268</v>
      </c>
      <c r="F707" s="1">
        <v>7</v>
      </c>
      <c r="G707" s="1">
        <v>38962</v>
      </c>
      <c r="H707" s="118">
        <f t="shared" si="642"/>
        <v>17</v>
      </c>
      <c r="I707" s="117"/>
      <c r="J707" s="117"/>
      <c r="K707" s="114">
        <f t="shared" si="640"/>
        <v>28648.529411764703</v>
      </c>
      <c r="L707" s="21">
        <f t="shared" si="641"/>
        <v>214.70588235294116</v>
      </c>
      <c r="M707" s="31">
        <f t="shared" si="643"/>
        <v>0</v>
      </c>
      <c r="N707" s="31">
        <f t="shared" si="644"/>
        <v>2.5454545454545455E-2</v>
      </c>
      <c r="O707" s="43">
        <f t="shared" si="645"/>
        <v>5.1470588235294112</v>
      </c>
      <c r="P707" s="49">
        <f t="shared" si="646"/>
        <v>2.3972602739726026E-2</v>
      </c>
      <c r="Q707" s="47">
        <f t="shared" si="647"/>
        <v>12.499999999999998</v>
      </c>
      <c r="R707" s="66">
        <f t="shared" si="648"/>
        <v>2291.8823529411766</v>
      </c>
      <c r="S707" s="92">
        <f t="shared" si="649"/>
        <v>0</v>
      </c>
      <c r="T707" s="93">
        <f t="shared" si="650"/>
        <v>0</v>
      </c>
      <c r="V707" s="98" t="str">
        <f t="shared" si="651"/>
        <v>MA</v>
      </c>
      <c r="W707" s="102">
        <f t="shared" si="652"/>
        <v>106.55117780445512</v>
      </c>
      <c r="X707" s="103">
        <f t="shared" si="653"/>
        <v>4.1121158604801701E-3</v>
      </c>
      <c r="Y707" s="122">
        <f t="shared" si="654"/>
        <v>0.94178082191780821</v>
      </c>
      <c r="Z707" s="123">
        <f t="shared" si="655"/>
        <v>2.5454545454545455E-2</v>
      </c>
      <c r="AA707" s="123">
        <f t="shared" si="656"/>
        <v>2.3972602739726026E-2</v>
      </c>
      <c r="AB707" s="124">
        <f t="shared" si="657"/>
        <v>0</v>
      </c>
    </row>
    <row r="708" spans="2:28" x14ac:dyDescent="0.3">
      <c r="B708" s="5" t="s">
        <v>5</v>
      </c>
      <c r="C708" s="1">
        <v>634</v>
      </c>
      <c r="D708" s="14">
        <v>1.17</v>
      </c>
      <c r="E708" s="1">
        <v>546</v>
      </c>
      <c r="F708" s="1">
        <v>7</v>
      </c>
      <c r="G708" s="1">
        <v>44312</v>
      </c>
      <c r="H708" s="118">
        <f t="shared" si="642"/>
        <v>81</v>
      </c>
      <c r="I708" s="117"/>
      <c r="J708" s="117"/>
      <c r="K708" s="114">
        <f t="shared" si="640"/>
        <v>37873.504273504273</v>
      </c>
      <c r="L708" s="21">
        <f t="shared" si="641"/>
        <v>541.88034188034192</v>
      </c>
      <c r="M708" s="31">
        <f t="shared" si="643"/>
        <v>-7.9545454545454544E-2</v>
      </c>
      <c r="N708" s="31">
        <f t="shared" si="644"/>
        <v>1.2658227848101266E-2</v>
      </c>
      <c r="O708" s="43">
        <f t="shared" si="645"/>
        <v>5.982905982905983</v>
      </c>
      <c r="P708" s="49">
        <f t="shared" si="646"/>
        <v>1.1041009463722398E-2</v>
      </c>
      <c r="Q708" s="47">
        <f t="shared" si="647"/>
        <v>69.230769230769241</v>
      </c>
      <c r="R708" s="66">
        <f t="shared" si="648"/>
        <v>547.06172839506178</v>
      </c>
      <c r="S708" s="92">
        <f t="shared" si="649"/>
        <v>1.7094017094017095</v>
      </c>
      <c r="T708" s="93">
        <f t="shared" si="650"/>
        <v>0</v>
      </c>
      <c r="V708" s="98" t="str">
        <f t="shared" si="651"/>
        <v>SA</v>
      </c>
      <c r="W708" s="102">
        <f t="shared" si="652"/>
        <v>199.80922185398376</v>
      </c>
      <c r="X708" s="103">
        <f t="shared" si="653"/>
        <v>7.8503973436585706E-3</v>
      </c>
      <c r="Y708" s="122">
        <f t="shared" si="654"/>
        <v>0.87223974763406942</v>
      </c>
      <c r="Z708" s="123">
        <f t="shared" si="655"/>
        <v>1.2658227848101266E-2</v>
      </c>
      <c r="AA708" s="123">
        <f t="shared" si="656"/>
        <v>1.1041009463722398E-2</v>
      </c>
      <c r="AB708" s="124">
        <f t="shared" si="657"/>
        <v>0</v>
      </c>
    </row>
    <row r="709" spans="2:28" x14ac:dyDescent="0.3">
      <c r="B709" s="5" t="s">
        <v>6</v>
      </c>
      <c r="C709" s="1">
        <v>1051</v>
      </c>
      <c r="D709" s="14">
        <v>0.96499999999999997</v>
      </c>
      <c r="E709" s="1">
        <v>974</v>
      </c>
      <c r="F709" s="1">
        <v>58</v>
      </c>
      <c r="G709" s="1">
        <f>38458+C709</f>
        <v>39509</v>
      </c>
      <c r="H709" s="118">
        <f t="shared" si="642"/>
        <v>19</v>
      </c>
      <c r="I709" s="117"/>
      <c r="J709" s="117"/>
      <c r="K709" s="114">
        <f t="shared" si="640"/>
        <v>40941.968911917102</v>
      </c>
      <c r="L709" s="21">
        <f t="shared" si="641"/>
        <v>1089.1191709844561</v>
      </c>
      <c r="M709" s="31">
        <f t="shared" si="643"/>
        <v>-0.13636363636363635</v>
      </c>
      <c r="N709" s="31">
        <f t="shared" si="644"/>
        <v>5.6201550387596902E-2</v>
      </c>
      <c r="O709" s="43">
        <f t="shared" si="645"/>
        <v>60.103626943005182</v>
      </c>
      <c r="P709" s="49">
        <f t="shared" si="646"/>
        <v>5.5185537583254042E-2</v>
      </c>
      <c r="Q709" s="47">
        <f t="shared" si="647"/>
        <v>19.689119170984455</v>
      </c>
      <c r="R709" s="66">
        <f t="shared" si="648"/>
        <v>2079.4210526315787</v>
      </c>
      <c r="S709" s="92">
        <f t="shared" si="649"/>
        <v>1.0362694300518136</v>
      </c>
      <c r="T709" s="93">
        <f t="shared" si="650"/>
        <v>0</v>
      </c>
      <c r="V709" s="98" t="str">
        <f t="shared" si="651"/>
        <v>NS</v>
      </c>
      <c r="W709" s="102">
        <f t="shared" si="652"/>
        <v>9.9700422631650643</v>
      </c>
      <c r="X709" s="103">
        <f t="shared" si="653"/>
        <v>1.4595884284557482E-2</v>
      </c>
      <c r="Y709" s="122">
        <f t="shared" si="654"/>
        <v>0.98192197906755474</v>
      </c>
      <c r="Z709" s="123">
        <f t="shared" si="655"/>
        <v>5.6201550387596902E-2</v>
      </c>
      <c r="AA709" s="123">
        <f t="shared" si="656"/>
        <v>5.5185537583254042E-2</v>
      </c>
      <c r="AB709" s="124">
        <f t="shared" si="657"/>
        <v>0</v>
      </c>
    </row>
    <row r="710" spans="2:28" x14ac:dyDescent="0.3">
      <c r="B710" s="5" t="s">
        <v>7</v>
      </c>
      <c r="C710" s="1">
        <v>121</v>
      </c>
      <c r="D710" s="14">
        <v>0.77200000000000002</v>
      </c>
      <c r="E710" s="1">
        <v>120</v>
      </c>
      <c r="F710" s="1">
        <v>0</v>
      </c>
      <c r="G710" s="1">
        <v>22572</v>
      </c>
      <c r="H710" s="118">
        <f t="shared" si="642"/>
        <v>1</v>
      </c>
      <c r="I710" s="117"/>
      <c r="J710" s="117"/>
      <c r="K710" s="114">
        <f t="shared" si="640"/>
        <v>29238.341968911915</v>
      </c>
      <c r="L710" s="21">
        <f t="shared" si="641"/>
        <v>156.7357512953368</v>
      </c>
      <c r="M710" s="31">
        <f t="shared" si="643"/>
        <v>0</v>
      </c>
      <c r="N710" s="31">
        <f t="shared" si="644"/>
        <v>0</v>
      </c>
      <c r="O710" s="43">
        <f t="shared" si="645"/>
        <v>0</v>
      </c>
      <c r="P710" s="49">
        <f t="shared" si="646"/>
        <v>0</v>
      </c>
      <c r="Q710" s="47">
        <f t="shared" si="647"/>
        <v>1.2953367875647668</v>
      </c>
      <c r="R710" s="66">
        <f>IFERROR(G710/H710,20000)</f>
        <v>22572</v>
      </c>
      <c r="S710" s="92">
        <f t="shared" si="649"/>
        <v>0</v>
      </c>
      <c r="T710" s="93">
        <f t="shared" si="650"/>
        <v>0</v>
      </c>
      <c r="V710" s="98" t="str">
        <f t="shared" si="651"/>
        <v>NB</v>
      </c>
      <c r="W710" s="102">
        <f t="shared" si="652"/>
        <v>500.87075417386296</v>
      </c>
      <c r="X710" s="103">
        <f t="shared" si="653"/>
        <v>2.9412982317890868E-3</v>
      </c>
      <c r="Y710" s="122">
        <f t="shared" si="654"/>
        <v>0.99173553719008267</v>
      </c>
      <c r="Z710" s="123">
        <f t="shared" si="655"/>
        <v>0</v>
      </c>
      <c r="AA710" s="123">
        <f t="shared" si="656"/>
        <v>0</v>
      </c>
      <c r="AB710" s="124">
        <f t="shared" si="657"/>
        <v>0</v>
      </c>
    </row>
    <row r="711" spans="2:28" x14ac:dyDescent="0.3">
      <c r="B711" s="5" t="s">
        <v>18</v>
      </c>
      <c r="C711" s="9">
        <v>27</v>
      </c>
      <c r="D711" s="15">
        <v>0.154</v>
      </c>
      <c r="E711" s="9">
        <v>27</v>
      </c>
      <c r="F711" s="9">
        <v>0</v>
      </c>
      <c r="G711" s="9">
        <v>5432</v>
      </c>
      <c r="H711" s="118">
        <f t="shared" si="642"/>
        <v>0</v>
      </c>
      <c r="I711" s="117"/>
      <c r="J711" s="117"/>
      <c r="K711" s="115">
        <f t="shared" si="640"/>
        <v>35272.727272727272</v>
      </c>
      <c r="L711" s="22">
        <f t="shared" si="641"/>
        <v>175.32467532467533</v>
      </c>
      <c r="M711" s="31">
        <v>0</v>
      </c>
      <c r="N711" s="31">
        <f t="shared" si="644"/>
        <v>0</v>
      </c>
      <c r="O711" s="44">
        <f t="shared" si="645"/>
        <v>0</v>
      </c>
      <c r="P711" s="49">
        <f t="shared" si="646"/>
        <v>0</v>
      </c>
      <c r="Q711" s="47">
        <f t="shared" si="647"/>
        <v>0</v>
      </c>
      <c r="R711" s="66">
        <f>IFERROR(G711/H711,20000)</f>
        <v>20000</v>
      </c>
      <c r="S711" s="92">
        <f t="shared" si="649"/>
        <v>0</v>
      </c>
      <c r="T711" s="93">
        <f t="shared" si="650"/>
        <v>0</v>
      </c>
      <c r="V711" s="98" t="str">
        <f t="shared" si="651"/>
        <v>PEI</v>
      </c>
      <c r="W711" s="102">
        <f t="shared" si="652"/>
        <v>500.97402597402595</v>
      </c>
      <c r="X711" s="103">
        <f t="shared" si="653"/>
        <v>2.7272674928712436E-3</v>
      </c>
      <c r="Y711" s="122">
        <f t="shared" si="654"/>
        <v>1</v>
      </c>
      <c r="Z711" s="123">
        <f t="shared" si="655"/>
        <v>0</v>
      </c>
      <c r="AA711" s="123">
        <f t="shared" si="656"/>
        <v>0</v>
      </c>
      <c r="AB711" s="124">
        <f t="shared" si="657"/>
        <v>0</v>
      </c>
    </row>
    <row r="712" spans="2:28" ht="15" thickBot="1" x14ac:dyDescent="0.35">
      <c r="B712" s="5" t="s">
        <v>11</v>
      </c>
      <c r="C712" s="9">
        <v>260</v>
      </c>
      <c r="D712" s="15">
        <v>0.52400000000000002</v>
      </c>
      <c r="E712" s="9">
        <v>254</v>
      </c>
      <c r="F712" s="9">
        <v>3</v>
      </c>
      <c r="G712" s="9">
        <v>11347</v>
      </c>
      <c r="H712" s="119">
        <f t="shared" si="642"/>
        <v>3</v>
      </c>
      <c r="I712" s="117"/>
      <c r="J712" s="117"/>
      <c r="K712" s="115">
        <f t="shared" si="640"/>
        <v>21654.580152671755</v>
      </c>
      <c r="L712" s="22">
        <f t="shared" si="641"/>
        <v>496.18320610687022</v>
      </c>
      <c r="M712" s="31">
        <f>(H712-H698)/H698</f>
        <v>0</v>
      </c>
      <c r="N712" s="32">
        <f t="shared" si="644"/>
        <v>1.1673151750972763E-2</v>
      </c>
      <c r="O712" s="44">
        <f t="shared" si="645"/>
        <v>5.7251908396946565</v>
      </c>
      <c r="P712" s="50">
        <f t="shared" si="646"/>
        <v>1.1538461538461539E-2</v>
      </c>
      <c r="Q712" s="48">
        <f t="shared" si="647"/>
        <v>5.7251908396946565</v>
      </c>
      <c r="R712" s="67">
        <f>G712/H712</f>
        <v>3782.3333333333335</v>
      </c>
      <c r="S712" s="92">
        <f t="shared" si="649"/>
        <v>0</v>
      </c>
      <c r="T712" s="93">
        <f t="shared" si="650"/>
        <v>0</v>
      </c>
      <c r="V712" s="99" t="str">
        <f t="shared" si="651"/>
        <v>NFLD</v>
      </c>
      <c r="W712" s="120">
        <f t="shared" si="652"/>
        <v>199.54768447837151</v>
      </c>
      <c r="X712" s="103">
        <f t="shared" si="653"/>
        <v>1.2572337362892183E-2</v>
      </c>
      <c r="Y712" s="122">
        <f t="shared" si="654"/>
        <v>0.9884615384615385</v>
      </c>
      <c r="Z712" s="123">
        <f t="shared" si="655"/>
        <v>1.1673151750972763E-2</v>
      </c>
      <c r="AA712" s="123">
        <f t="shared" si="656"/>
        <v>1.1538461538461539E-2</v>
      </c>
      <c r="AB712" s="124">
        <f t="shared" si="657"/>
        <v>0</v>
      </c>
    </row>
    <row r="713" spans="2:28" ht="15" thickBot="1" x14ac:dyDescent="0.35">
      <c r="B713" s="11" t="s">
        <v>10</v>
      </c>
      <c r="C713" s="12">
        <v>85710</v>
      </c>
      <c r="D713" s="16">
        <v>37.6</v>
      </c>
      <c r="E713" s="12">
        <v>44638</v>
      </c>
      <c r="F713" s="12">
        <v>6545</v>
      </c>
      <c r="G713" s="12">
        <f>SUM(G703:G712)</f>
        <v>1547294</v>
      </c>
      <c r="H713" s="81">
        <f t="shared" si="642"/>
        <v>34527</v>
      </c>
      <c r="I713" s="117"/>
      <c r="J713" s="117"/>
      <c r="K713" s="77">
        <f t="shared" si="640"/>
        <v>41151.436170212764</v>
      </c>
      <c r="L713" s="23">
        <f t="shared" si="641"/>
        <v>2279.5212765957444</v>
      </c>
      <c r="M713" s="31">
        <f>(H713-H699)/H699</f>
        <v>1.4574946372425141E-2</v>
      </c>
      <c r="N713" s="33">
        <f t="shared" si="644"/>
        <v>0.12787448957661723</v>
      </c>
      <c r="O713" s="45">
        <f>F713/D713</f>
        <v>174.06914893617019</v>
      </c>
      <c r="P713" s="53">
        <f t="shared" si="646"/>
        <v>7.6362151440905385E-2</v>
      </c>
      <c r="Q713" s="55">
        <f t="shared" si="647"/>
        <v>918.27127659574467</v>
      </c>
      <c r="R713" s="74">
        <f>G713/H713</f>
        <v>44.814029600023169</v>
      </c>
      <c r="S713" s="92">
        <f t="shared" si="649"/>
        <v>28.191489361702125</v>
      </c>
      <c r="T713" s="93">
        <f t="shared" si="650"/>
        <v>2.5664893617021276</v>
      </c>
      <c r="V713" s="108" t="str">
        <f t="shared" si="651"/>
        <v>Canada</v>
      </c>
      <c r="W713" s="109">
        <f t="shared" si="652"/>
        <v>13.642017306493342</v>
      </c>
      <c r="X713" s="103">
        <f t="shared" si="653"/>
        <v>3.0393617021276593E-2</v>
      </c>
      <c r="Y713" s="122">
        <f t="shared" si="654"/>
        <v>0.5971648582429121</v>
      </c>
      <c r="Z713" s="123">
        <f t="shared" si="655"/>
        <v>0.12787448957661723</v>
      </c>
      <c r="AA713" s="123">
        <f t="shared" si="656"/>
        <v>7.6362151440905385E-2</v>
      </c>
      <c r="AB713" s="124">
        <f t="shared" si="657"/>
        <v>0</v>
      </c>
    </row>
    <row r="714" spans="2:28" ht="15" thickBot="1" x14ac:dyDescent="0.35">
      <c r="B714" s="6" t="s">
        <v>9</v>
      </c>
      <c r="C714" s="7">
        <v>1700541</v>
      </c>
      <c r="D714" s="7">
        <v>327</v>
      </c>
      <c r="E714" s="7">
        <v>457232</v>
      </c>
      <c r="F714" s="7">
        <v>99684</v>
      </c>
      <c r="G714" s="7">
        <v>15080242</v>
      </c>
      <c r="H714" s="82">
        <f t="shared" si="642"/>
        <v>1143625</v>
      </c>
      <c r="I714" s="117"/>
      <c r="J714" s="117"/>
      <c r="K714" s="78">
        <f t="shared" si="640"/>
        <v>46116.948012232417</v>
      </c>
      <c r="L714" s="24">
        <f t="shared" si="641"/>
        <v>5200.4311926605506</v>
      </c>
      <c r="M714" s="31">
        <f>(H714-H700)/H700</f>
        <v>1.8717046747187143E-2</v>
      </c>
      <c r="N714" s="33">
        <f t="shared" si="644"/>
        <v>0.17899288222999518</v>
      </c>
      <c r="O714" s="46">
        <f>F714/D714</f>
        <v>304.8440366972477</v>
      </c>
      <c r="P714" s="52">
        <f t="shared" si="646"/>
        <v>5.8618992426527794E-2</v>
      </c>
      <c r="Q714" s="54">
        <f t="shared" si="647"/>
        <v>3497.3241590214066</v>
      </c>
      <c r="R714" s="72">
        <f>G714/H714</f>
        <v>13.186352169636026</v>
      </c>
      <c r="S714" s="92">
        <f t="shared" si="649"/>
        <v>61.177370030581038</v>
      </c>
      <c r="T714" s="93">
        <f t="shared" si="650"/>
        <v>1.915902140672783</v>
      </c>
      <c r="V714" s="108" t="str">
        <f t="shared" si="651"/>
        <v>USA</v>
      </c>
      <c r="W714" s="109">
        <f t="shared" si="652"/>
        <v>29.61877485801249</v>
      </c>
      <c r="X714" s="103">
        <f t="shared" si="653"/>
        <v>6.1873193119252587E-2</v>
      </c>
      <c r="Y714" s="122">
        <f t="shared" si="654"/>
        <v>0.3274934270917314</v>
      </c>
      <c r="Z714" s="123">
        <f t="shared" si="655"/>
        <v>0.17899288222999518</v>
      </c>
      <c r="AA714" s="123">
        <f t="shared" si="656"/>
        <v>5.8618992426527794E-2</v>
      </c>
      <c r="AB714" s="124">
        <f t="shared" si="657"/>
        <v>0</v>
      </c>
    </row>
    <row r="715" spans="2:28" ht="15" thickBot="1" x14ac:dyDescent="0.35"/>
    <row r="716" spans="2:28" ht="43.8" thickBot="1" x14ac:dyDescent="0.35">
      <c r="B716" s="96">
        <v>46143</v>
      </c>
      <c r="C716" s="18" t="s">
        <v>8</v>
      </c>
      <c r="D716" s="19" t="s">
        <v>17</v>
      </c>
      <c r="E716" s="19" t="s">
        <v>15</v>
      </c>
      <c r="F716" s="19" t="s">
        <v>16</v>
      </c>
      <c r="G716" s="19" t="s">
        <v>14</v>
      </c>
      <c r="H716" s="20" t="s">
        <v>38</v>
      </c>
      <c r="I716" s="116"/>
      <c r="J716" s="116"/>
      <c r="K716" s="19" t="s">
        <v>21</v>
      </c>
      <c r="L716" s="19" t="s">
        <v>20</v>
      </c>
      <c r="M716" s="19" t="s">
        <v>40</v>
      </c>
      <c r="N716" s="19" t="s">
        <v>32</v>
      </c>
      <c r="O716" s="19" t="s">
        <v>22</v>
      </c>
      <c r="P716" s="51" t="s">
        <v>34</v>
      </c>
      <c r="Q716" s="20" t="s">
        <v>35</v>
      </c>
      <c r="R716" s="63" t="s">
        <v>39</v>
      </c>
      <c r="S716" s="91" t="s">
        <v>43</v>
      </c>
      <c r="T716" s="91" t="s">
        <v>44</v>
      </c>
      <c r="V716" s="104" t="s">
        <v>48</v>
      </c>
      <c r="W716" s="105" t="s">
        <v>49</v>
      </c>
      <c r="X716" s="106" t="s">
        <v>50</v>
      </c>
      <c r="Y716" s="61" t="s">
        <v>52</v>
      </c>
      <c r="Z716" s="61" t="s">
        <v>33</v>
      </c>
      <c r="AA716" s="61" t="s">
        <v>37</v>
      </c>
      <c r="AB716" s="61" t="s">
        <v>54</v>
      </c>
    </row>
    <row r="717" spans="2:28" x14ac:dyDescent="0.3">
      <c r="B717" s="3" t="s">
        <v>0</v>
      </c>
      <c r="C717" s="1">
        <v>26191</v>
      </c>
      <c r="D717" s="14">
        <v>14.45</v>
      </c>
      <c r="E717" s="1">
        <v>19958</v>
      </c>
      <c r="F717" s="1">
        <v>2123</v>
      </c>
      <c r="G717" s="1">
        <v>629414</v>
      </c>
      <c r="H717" s="118">
        <f>C717-E717-F717</f>
        <v>4110</v>
      </c>
      <c r="I717" s="117"/>
      <c r="J717" s="117"/>
      <c r="K717" s="114">
        <f t="shared" ref="K717:K728" si="658">G717/D717</f>
        <v>43558.062283737025</v>
      </c>
      <c r="L717" s="21">
        <f t="shared" ref="L717:L728" si="659">C717/D717</f>
        <v>1812.5259515570935</v>
      </c>
      <c r="M717" s="31">
        <f>(H717-H703)/H703</f>
        <v>1.4619883040935672E-3</v>
      </c>
      <c r="N717" s="31">
        <f>F717/(E717+F717)</f>
        <v>9.6146007880077891E-2</v>
      </c>
      <c r="O717" s="43">
        <f>F717/D717</f>
        <v>146.92041522491351</v>
      </c>
      <c r="P717" s="49">
        <f>F717/C717</f>
        <v>8.1058378832423353E-2</v>
      </c>
      <c r="Q717" s="47">
        <f>(C717-E717-F717)/D717</f>
        <v>284.42906574394465</v>
      </c>
      <c r="R717" s="66">
        <f>G717/H717</f>
        <v>153.14209245742092</v>
      </c>
      <c r="S717" s="92">
        <f>(C717-C703)/D717</f>
        <v>19.86159169550173</v>
      </c>
      <c r="T717" s="93">
        <f>(F717-F703)/D717</f>
        <v>1.453287197231834</v>
      </c>
      <c r="V717" s="101" t="str">
        <f>B717</f>
        <v>ON</v>
      </c>
      <c r="W717" s="102">
        <f>L717/180+IFERROR((D717*C717*13)/(F717*F717),500)</f>
        <v>11.161188028165515</v>
      </c>
      <c r="X717" s="103">
        <f>L717/75000*K$727/K717</f>
        <v>2.3228031771959808E-2</v>
      </c>
      <c r="Y717" s="122">
        <f>(E717+F717)/C717</f>
        <v>0.84307586575541216</v>
      </c>
      <c r="Z717" s="123">
        <f>N717</f>
        <v>9.6146007880077891E-2</v>
      </c>
      <c r="AA717" s="123">
        <f>P717</f>
        <v>8.1058378832423353E-2</v>
      </c>
      <c r="AB717" s="124">
        <f>X353</f>
        <v>1.2913494809688581E-2</v>
      </c>
    </row>
    <row r="718" spans="2:28" x14ac:dyDescent="0.3">
      <c r="B718" s="5" t="s">
        <v>1</v>
      </c>
      <c r="C718" s="1">
        <v>48598</v>
      </c>
      <c r="D718" s="14">
        <v>8.43</v>
      </c>
      <c r="E718" s="1">
        <v>14999</v>
      </c>
      <c r="F718" s="1">
        <v>4139</v>
      </c>
      <c r="G718" s="1">
        <f>390632+12960</f>
        <v>403592</v>
      </c>
      <c r="H718" s="118">
        <f t="shared" ref="H718:H728" si="660">C718-E718-F718</f>
        <v>29460</v>
      </c>
      <c r="I718" s="117"/>
      <c r="J718" s="117"/>
      <c r="K718" s="114">
        <f t="shared" si="658"/>
        <v>47875.68208778173</v>
      </c>
      <c r="L718" s="21">
        <f t="shared" si="659"/>
        <v>5764.887307236062</v>
      </c>
      <c r="M718" s="31">
        <f t="shared" ref="M718:M724" si="661">(H718-H704)/H704</f>
        <v>6.800861214585968E-3</v>
      </c>
      <c r="N718" s="31">
        <f t="shared" ref="N718:N728" si="662">F718/(E718+F718)</f>
        <v>0.2162712927160623</v>
      </c>
      <c r="O718" s="43">
        <f t="shared" ref="O718:O726" si="663">F718/D718</f>
        <v>490.98457888493476</v>
      </c>
      <c r="P718" s="49">
        <f t="shared" ref="P718:P728" si="664">F718/C718</f>
        <v>8.516811391415284E-2</v>
      </c>
      <c r="Q718" s="47">
        <f t="shared" ref="Q718:Q728" si="665">(C718-E718-F718)/D718</f>
        <v>3494.6619217081852</v>
      </c>
      <c r="R718" s="66">
        <f t="shared" ref="R718:R723" si="666">G718/H718</f>
        <v>13.699660556687034</v>
      </c>
      <c r="S718" s="92">
        <f t="shared" ref="S718:S728" si="667">(C718-C704)/D718</f>
        <v>72.835112692763943</v>
      </c>
      <c r="T718" s="93">
        <f t="shared" ref="T718:T728" si="668">(F718-F704)/D718</f>
        <v>8.3036773428232511</v>
      </c>
      <c r="V718" s="98" t="str">
        <f t="shared" ref="V718:V728" si="669">B718</f>
        <v>QC</v>
      </c>
      <c r="W718" s="102">
        <f t="shared" ref="W718:W728" si="670">L718/180+IFERROR((D718*C718*13)/(F718*F718),500)</f>
        <v>32.338035778212124</v>
      </c>
      <c r="X718" s="103">
        <f t="shared" ref="X718:X728" si="671">L718/75000*K$727/K718</f>
        <v>6.7215986524344712E-2</v>
      </c>
      <c r="Y718" s="122">
        <f t="shared" ref="Y718:Y728" si="672">(E718+F718)/C718</f>
        <v>0.39380221408288407</v>
      </c>
      <c r="Z718" s="123">
        <f t="shared" ref="Z718:Z728" si="673">N718</f>
        <v>0.2162712927160623</v>
      </c>
      <c r="AA718" s="123">
        <f t="shared" ref="AA718:AA728" si="674">P718</f>
        <v>8.516811391415284E-2</v>
      </c>
      <c r="AB718" s="124">
        <f t="shared" ref="AB718:AB728" si="675">X354</f>
        <v>2.449104955821808E-2</v>
      </c>
    </row>
    <row r="719" spans="2:28" x14ac:dyDescent="0.3">
      <c r="B719" s="5" t="s">
        <v>2</v>
      </c>
      <c r="C719" s="1">
        <v>2541</v>
      </c>
      <c r="D719" s="14">
        <v>5.0199999999999996</v>
      </c>
      <c r="E719" s="1">
        <v>2122</v>
      </c>
      <c r="F719" s="1">
        <v>161</v>
      </c>
      <c r="G719" s="95">
        <v>135190</v>
      </c>
      <c r="H719" s="118">
        <f t="shared" si="660"/>
        <v>258</v>
      </c>
      <c r="I719" s="117"/>
      <c r="J719" s="117"/>
      <c r="K719" s="114">
        <f t="shared" si="658"/>
        <v>26930.278884462154</v>
      </c>
      <c r="L719" s="21">
        <f t="shared" si="659"/>
        <v>506.17529880478094</v>
      </c>
      <c r="M719" s="31">
        <f t="shared" si="661"/>
        <v>-3.007518796992481E-2</v>
      </c>
      <c r="N719" s="31">
        <f t="shared" si="662"/>
        <v>7.0521243977222953E-2</v>
      </c>
      <c r="O719" s="43">
        <f t="shared" si="663"/>
        <v>32.071713147410364</v>
      </c>
      <c r="P719" s="49">
        <f t="shared" si="664"/>
        <v>6.3360881542699726E-2</v>
      </c>
      <c r="Q719" s="47">
        <f t="shared" si="665"/>
        <v>51.39442231075698</v>
      </c>
      <c r="R719" s="66">
        <f t="shared" si="666"/>
        <v>523.99224806201551</v>
      </c>
      <c r="S719" s="92">
        <f t="shared" si="667"/>
        <v>2.3904382470119523</v>
      </c>
      <c r="T719" s="93">
        <f t="shared" si="668"/>
        <v>0</v>
      </c>
      <c r="V719" s="98" t="str">
        <f t="shared" si="669"/>
        <v>BC</v>
      </c>
      <c r="W719" s="102">
        <f t="shared" si="670"/>
        <v>9.2094330894981606</v>
      </c>
      <c r="X719" s="103">
        <f t="shared" si="671"/>
        <v>1.0491964839083842E-2</v>
      </c>
      <c r="Y719" s="122">
        <f t="shared" si="672"/>
        <v>0.89846517119244396</v>
      </c>
      <c r="Z719" s="123">
        <f t="shared" si="673"/>
        <v>7.0521243977222953E-2</v>
      </c>
      <c r="AA719" s="123">
        <f t="shared" si="674"/>
        <v>6.3360881542699726E-2</v>
      </c>
      <c r="AB719" s="124">
        <f t="shared" si="675"/>
        <v>5.4772834483303844E-3</v>
      </c>
    </row>
    <row r="720" spans="2:28" x14ac:dyDescent="0.3">
      <c r="B720" s="5" t="s">
        <v>3</v>
      </c>
      <c r="C720" s="1">
        <v>6901</v>
      </c>
      <c r="D720" s="14">
        <v>4.34</v>
      </c>
      <c r="E720" s="1">
        <v>6048</v>
      </c>
      <c r="F720" s="1">
        <v>139</v>
      </c>
      <c r="G720" s="1">
        <v>242781</v>
      </c>
      <c r="H720" s="118">
        <f t="shared" si="660"/>
        <v>714</v>
      </c>
      <c r="I720" s="117"/>
      <c r="J720" s="117"/>
      <c r="K720" s="114">
        <f t="shared" si="658"/>
        <v>55940.322580645166</v>
      </c>
      <c r="L720" s="21">
        <f t="shared" si="659"/>
        <v>1590.0921658986176</v>
      </c>
      <c r="M720" s="31">
        <f t="shared" si="661"/>
        <v>-6.2992125984251968E-2</v>
      </c>
      <c r="N720" s="31">
        <f t="shared" si="662"/>
        <v>2.2466461936318086E-2</v>
      </c>
      <c r="O720" s="43">
        <f t="shared" si="663"/>
        <v>32.027649769585253</v>
      </c>
      <c r="P720" s="49">
        <f t="shared" si="664"/>
        <v>2.0142008404579047E-2</v>
      </c>
      <c r="Q720" s="47">
        <f t="shared" si="665"/>
        <v>164.51612903225808</v>
      </c>
      <c r="R720" s="66">
        <f t="shared" si="666"/>
        <v>340.02941176470586</v>
      </c>
      <c r="S720" s="92">
        <f t="shared" si="667"/>
        <v>5.0691244239631335</v>
      </c>
      <c r="T720" s="93">
        <f t="shared" si="668"/>
        <v>0.2304147465437788</v>
      </c>
      <c r="V720" s="98" t="str">
        <f t="shared" si="669"/>
        <v>AL</v>
      </c>
      <c r="W720" s="102">
        <f t="shared" si="670"/>
        <v>28.985722598130756</v>
      </c>
      <c r="X720" s="103">
        <f t="shared" si="671"/>
        <v>1.5866972205724559E-2</v>
      </c>
      <c r="Y720" s="122">
        <f t="shared" si="672"/>
        <v>0.89653673380669463</v>
      </c>
      <c r="Z720" s="123">
        <f t="shared" si="673"/>
        <v>2.2466461936318086E-2</v>
      </c>
      <c r="AA720" s="123">
        <f t="shared" si="674"/>
        <v>2.0142008404579047E-2</v>
      </c>
      <c r="AB720" s="124">
        <f t="shared" si="675"/>
        <v>6.6683623375546159E-3</v>
      </c>
    </row>
    <row r="721" spans="2:28" x14ac:dyDescent="0.3">
      <c r="B721" s="5" t="s">
        <v>4</v>
      </c>
      <c r="C721" s="1">
        <v>292</v>
      </c>
      <c r="D721" s="14">
        <v>1.36</v>
      </c>
      <c r="E721" s="1">
        <v>269</v>
      </c>
      <c r="F721" s="1">
        <v>7</v>
      </c>
      <c r="G721" s="1">
        <v>39321</v>
      </c>
      <c r="H721" s="118">
        <f t="shared" si="660"/>
        <v>16</v>
      </c>
      <c r="I721" s="117"/>
      <c r="J721" s="117"/>
      <c r="K721" s="114">
        <f t="shared" si="658"/>
        <v>28912.499999999996</v>
      </c>
      <c r="L721" s="21">
        <f t="shared" si="659"/>
        <v>214.70588235294116</v>
      </c>
      <c r="M721" s="31">
        <f t="shared" si="661"/>
        <v>-5.8823529411764705E-2</v>
      </c>
      <c r="N721" s="31">
        <f t="shared" si="662"/>
        <v>2.5362318840579712E-2</v>
      </c>
      <c r="O721" s="43">
        <f t="shared" si="663"/>
        <v>5.1470588235294112</v>
      </c>
      <c r="P721" s="49">
        <f t="shared" si="664"/>
        <v>2.3972602739726026E-2</v>
      </c>
      <c r="Q721" s="47">
        <f t="shared" si="665"/>
        <v>11.76470588235294</v>
      </c>
      <c r="R721" s="66">
        <f t="shared" si="666"/>
        <v>2457.5625</v>
      </c>
      <c r="S721" s="92">
        <f t="shared" si="667"/>
        <v>0</v>
      </c>
      <c r="T721" s="93">
        <f t="shared" si="668"/>
        <v>0</v>
      </c>
      <c r="V721" s="98" t="str">
        <f t="shared" si="669"/>
        <v>MA</v>
      </c>
      <c r="W721" s="102">
        <f t="shared" si="670"/>
        <v>106.55117780445512</v>
      </c>
      <c r="X721" s="103">
        <f t="shared" si="671"/>
        <v>4.1452910315730078E-3</v>
      </c>
      <c r="Y721" s="122">
        <f t="shared" si="672"/>
        <v>0.9452054794520548</v>
      </c>
      <c r="Z721" s="123">
        <f t="shared" si="673"/>
        <v>2.5362318840579712E-2</v>
      </c>
      <c r="AA721" s="123">
        <f t="shared" si="674"/>
        <v>2.3972602739726026E-2</v>
      </c>
      <c r="AB721" s="124">
        <f t="shared" si="675"/>
        <v>2.3725040431357646E-3</v>
      </c>
    </row>
    <row r="722" spans="2:28" x14ac:dyDescent="0.3">
      <c r="B722" s="5" t="s">
        <v>5</v>
      </c>
      <c r="C722" s="1">
        <v>634</v>
      </c>
      <c r="D722" s="14">
        <v>1.17</v>
      </c>
      <c r="E722" s="1">
        <v>549</v>
      </c>
      <c r="F722" s="1">
        <v>8</v>
      </c>
      <c r="G722" s="1">
        <v>44580</v>
      </c>
      <c r="H722" s="118">
        <f t="shared" si="660"/>
        <v>77</v>
      </c>
      <c r="I722" s="117"/>
      <c r="J722" s="117"/>
      <c r="K722" s="114">
        <f t="shared" si="658"/>
        <v>38102.564102564102</v>
      </c>
      <c r="L722" s="21">
        <f t="shared" si="659"/>
        <v>541.88034188034192</v>
      </c>
      <c r="M722" s="31">
        <f t="shared" si="661"/>
        <v>-4.9382716049382713E-2</v>
      </c>
      <c r="N722" s="31">
        <f t="shared" si="662"/>
        <v>1.4362657091561939E-2</v>
      </c>
      <c r="O722" s="43">
        <f t="shared" si="663"/>
        <v>6.8376068376068382</v>
      </c>
      <c r="P722" s="49">
        <f t="shared" si="664"/>
        <v>1.2618296529968454E-2</v>
      </c>
      <c r="Q722" s="47">
        <f t="shared" si="665"/>
        <v>65.81196581196582</v>
      </c>
      <c r="R722" s="66">
        <f t="shared" si="666"/>
        <v>578.96103896103898</v>
      </c>
      <c r="S722" s="92">
        <f t="shared" si="667"/>
        <v>0</v>
      </c>
      <c r="T722" s="93">
        <f t="shared" si="668"/>
        <v>0.85470085470085477</v>
      </c>
      <c r="V722" s="98" t="str">
        <f t="shared" si="669"/>
        <v>SA</v>
      </c>
      <c r="W722" s="102">
        <f t="shared" si="670"/>
        <v>153.68450884377967</v>
      </c>
      <c r="X722" s="103">
        <f t="shared" si="671"/>
        <v>7.9386366210716878E-3</v>
      </c>
      <c r="Y722" s="122">
        <f t="shared" si="672"/>
        <v>0.87854889589905361</v>
      </c>
      <c r="Z722" s="123">
        <f t="shared" si="673"/>
        <v>1.4362657091561939E-2</v>
      </c>
      <c r="AA722" s="123">
        <f t="shared" si="674"/>
        <v>1.2618296529968454E-2</v>
      </c>
      <c r="AB722" s="124">
        <f t="shared" si="675"/>
        <v>2.5734254564478733E-3</v>
      </c>
    </row>
    <row r="723" spans="2:28" x14ac:dyDescent="0.3">
      <c r="B723" s="5" t="s">
        <v>6</v>
      </c>
      <c r="C723" s="1">
        <v>1052</v>
      </c>
      <c r="D723" s="14">
        <v>0.96499999999999997</v>
      </c>
      <c r="E723" s="1">
        <v>976</v>
      </c>
      <c r="F723" s="1">
        <v>59</v>
      </c>
      <c r="G723" s="1">
        <v>38999</v>
      </c>
      <c r="H723" s="118">
        <f t="shared" si="660"/>
        <v>17</v>
      </c>
      <c r="I723" s="117"/>
      <c r="J723" s="117"/>
      <c r="K723" s="114">
        <f t="shared" si="658"/>
        <v>40413.471502590677</v>
      </c>
      <c r="L723" s="21">
        <f t="shared" si="659"/>
        <v>1090.1554404145079</v>
      </c>
      <c r="M723" s="31">
        <f t="shared" si="661"/>
        <v>-0.10526315789473684</v>
      </c>
      <c r="N723" s="31">
        <f t="shared" si="662"/>
        <v>5.7004830917874394E-2</v>
      </c>
      <c r="O723" s="43">
        <f t="shared" si="663"/>
        <v>61.139896373056999</v>
      </c>
      <c r="P723" s="49">
        <f t="shared" si="664"/>
        <v>5.6083650190114069E-2</v>
      </c>
      <c r="Q723" s="47">
        <f t="shared" si="665"/>
        <v>17.616580310880831</v>
      </c>
      <c r="R723" s="66">
        <f t="shared" si="666"/>
        <v>2294.0588235294117</v>
      </c>
      <c r="S723" s="92">
        <f t="shared" si="667"/>
        <v>1.0362694300518136</v>
      </c>
      <c r="T723" s="93">
        <f t="shared" si="668"/>
        <v>1.0362694300518136</v>
      </c>
      <c r="V723" s="98" t="str">
        <f t="shared" si="669"/>
        <v>NS</v>
      </c>
      <c r="W723" s="102">
        <f t="shared" si="670"/>
        <v>9.8476687543217167</v>
      </c>
      <c r="X723" s="103">
        <f t="shared" si="671"/>
        <v>1.5057712409065225E-2</v>
      </c>
      <c r="Y723" s="122">
        <f t="shared" si="672"/>
        <v>0.98384030418250945</v>
      </c>
      <c r="Z723" s="123">
        <f t="shared" si="673"/>
        <v>5.7004830917874394E-2</v>
      </c>
      <c r="AA723" s="123">
        <f t="shared" si="674"/>
        <v>5.6083650190114069E-2</v>
      </c>
      <c r="AB723" s="124">
        <f t="shared" si="675"/>
        <v>6.684605840307725E-3</v>
      </c>
    </row>
    <row r="724" spans="2:28" x14ac:dyDescent="0.3">
      <c r="B724" s="5" t="s">
        <v>7</v>
      </c>
      <c r="C724" s="1">
        <v>122</v>
      </c>
      <c r="D724" s="14">
        <v>0.77200000000000002</v>
      </c>
      <c r="E724" s="1">
        <v>120</v>
      </c>
      <c r="F724" s="1">
        <v>0</v>
      </c>
      <c r="G724" s="1">
        <v>22920</v>
      </c>
      <c r="H724" s="118">
        <f t="shared" si="660"/>
        <v>2</v>
      </c>
      <c r="I724" s="117"/>
      <c r="J724" s="117"/>
      <c r="K724" s="114">
        <f t="shared" si="658"/>
        <v>29689.119170984457</v>
      </c>
      <c r="L724" s="21">
        <f t="shared" si="659"/>
        <v>158.03108808290156</v>
      </c>
      <c r="M724" s="31">
        <f t="shared" si="661"/>
        <v>1</v>
      </c>
      <c r="N724" s="31">
        <f t="shared" si="662"/>
        <v>0</v>
      </c>
      <c r="O724" s="43">
        <f t="shared" si="663"/>
        <v>0</v>
      </c>
      <c r="P724" s="49">
        <f t="shared" si="664"/>
        <v>0</v>
      </c>
      <c r="Q724" s="47">
        <f t="shared" si="665"/>
        <v>2.5906735751295336</v>
      </c>
      <c r="R724" s="66">
        <f>IFERROR(G724/H724,20000)</f>
        <v>11460</v>
      </c>
      <c r="S724" s="92">
        <f t="shared" si="667"/>
        <v>1.2953367875647668</v>
      </c>
      <c r="T724" s="93">
        <f t="shared" si="668"/>
        <v>0</v>
      </c>
      <c r="V724" s="98" t="str">
        <f t="shared" si="669"/>
        <v>NB</v>
      </c>
      <c r="W724" s="102">
        <f t="shared" si="670"/>
        <v>500.87795048934947</v>
      </c>
      <c r="X724" s="103">
        <f t="shared" si="671"/>
        <v>2.9712688289827089E-3</v>
      </c>
      <c r="Y724" s="122">
        <f t="shared" si="672"/>
        <v>0.98360655737704916</v>
      </c>
      <c r="Z724" s="123">
        <f t="shared" si="673"/>
        <v>0</v>
      </c>
      <c r="AA724" s="123">
        <f t="shared" si="674"/>
        <v>0</v>
      </c>
      <c r="AB724" s="124">
        <f t="shared" si="675"/>
        <v>1.9722414583984971E-3</v>
      </c>
    </row>
    <row r="725" spans="2:28" x14ac:dyDescent="0.3">
      <c r="B725" s="5" t="s">
        <v>18</v>
      </c>
      <c r="C725" s="9">
        <v>27</v>
      </c>
      <c r="D725" s="15">
        <v>0.154</v>
      </c>
      <c r="E725" s="9">
        <v>27</v>
      </c>
      <c r="F725" s="9">
        <v>0</v>
      </c>
      <c r="G725" s="9">
        <v>5857</v>
      </c>
      <c r="H725" s="118">
        <f t="shared" si="660"/>
        <v>0</v>
      </c>
      <c r="I725" s="117"/>
      <c r="J725" s="117"/>
      <c r="K725" s="115">
        <f t="shared" si="658"/>
        <v>38032.467532467534</v>
      </c>
      <c r="L725" s="22">
        <f t="shared" si="659"/>
        <v>175.32467532467533</v>
      </c>
      <c r="M725" s="31">
        <v>0</v>
      </c>
      <c r="N725" s="31">
        <f t="shared" si="662"/>
        <v>0</v>
      </c>
      <c r="O725" s="44">
        <f t="shared" si="663"/>
        <v>0</v>
      </c>
      <c r="P725" s="49">
        <f t="shared" si="664"/>
        <v>0</v>
      </c>
      <c r="Q725" s="47">
        <f t="shared" si="665"/>
        <v>0</v>
      </c>
      <c r="R725" s="66">
        <f>IFERROR(G725/H725,20000)</f>
        <v>20000</v>
      </c>
      <c r="S725" s="92">
        <f t="shared" si="667"/>
        <v>0</v>
      </c>
      <c r="T725" s="93">
        <f t="shared" si="668"/>
        <v>0</v>
      </c>
      <c r="V725" s="98" t="str">
        <f t="shared" si="669"/>
        <v>PEI</v>
      </c>
      <c r="W725" s="102">
        <f t="shared" si="670"/>
        <v>500.97402597402595</v>
      </c>
      <c r="X725" s="103">
        <f t="shared" si="671"/>
        <v>2.573269482960923E-3</v>
      </c>
      <c r="Y725" s="122">
        <f t="shared" si="672"/>
        <v>1</v>
      </c>
      <c r="Z725" s="123">
        <f t="shared" si="673"/>
        <v>0</v>
      </c>
      <c r="AA725" s="123">
        <f t="shared" si="674"/>
        <v>0</v>
      </c>
      <c r="AB725" s="124">
        <f t="shared" si="675"/>
        <v>2.0173199346108115E-3</v>
      </c>
    </row>
    <row r="726" spans="2:28" ht="15" thickBot="1" x14ac:dyDescent="0.35">
      <c r="B726" s="5" t="s">
        <v>11</v>
      </c>
      <c r="C726" s="9">
        <v>260</v>
      </c>
      <c r="D726" s="15">
        <v>0.52400000000000002</v>
      </c>
      <c r="E726" s="9">
        <v>255</v>
      </c>
      <c r="F726" s="9">
        <v>3</v>
      </c>
      <c r="G726" s="9">
        <v>11495</v>
      </c>
      <c r="H726" s="119">
        <f t="shared" si="660"/>
        <v>2</v>
      </c>
      <c r="I726" s="117"/>
      <c r="J726" s="117"/>
      <c r="K726" s="115">
        <f t="shared" si="658"/>
        <v>21937.022900763357</v>
      </c>
      <c r="L726" s="22">
        <f t="shared" si="659"/>
        <v>496.18320610687022</v>
      </c>
      <c r="M726" s="31">
        <f>(H726-H712)/H712</f>
        <v>-0.33333333333333331</v>
      </c>
      <c r="N726" s="32">
        <f t="shared" si="662"/>
        <v>1.1627906976744186E-2</v>
      </c>
      <c r="O726" s="44">
        <f t="shared" si="663"/>
        <v>5.7251908396946565</v>
      </c>
      <c r="P726" s="50">
        <f t="shared" si="664"/>
        <v>1.1538461538461539E-2</v>
      </c>
      <c r="Q726" s="48">
        <f t="shared" si="665"/>
        <v>3.8167938931297707</v>
      </c>
      <c r="R726" s="67">
        <f>G726/H726</f>
        <v>5747.5</v>
      </c>
      <c r="S726" s="92">
        <f t="shared" si="667"/>
        <v>0</v>
      </c>
      <c r="T726" s="93">
        <f t="shared" si="668"/>
        <v>0</v>
      </c>
      <c r="V726" s="99" t="str">
        <f t="shared" si="669"/>
        <v>NFLD</v>
      </c>
      <c r="W726" s="120">
        <f t="shared" si="670"/>
        <v>199.54768447837151</v>
      </c>
      <c r="X726" s="103">
        <f t="shared" si="671"/>
        <v>1.2625863850764594E-2</v>
      </c>
      <c r="Y726" s="122">
        <f t="shared" si="672"/>
        <v>0.99230769230769234</v>
      </c>
      <c r="Z726" s="123">
        <f t="shared" si="673"/>
        <v>1.1627906976744186E-2</v>
      </c>
      <c r="AA726" s="123">
        <f t="shared" si="674"/>
        <v>1.1538461538461539E-2</v>
      </c>
      <c r="AB726" s="124">
        <f t="shared" si="675"/>
        <v>7.0384393261813567E-3</v>
      </c>
    </row>
    <row r="727" spans="2:28" ht="15" thickBot="1" x14ac:dyDescent="0.35">
      <c r="B727" s="11" t="s">
        <v>10</v>
      </c>
      <c r="C727" s="12">
        <v>86647</v>
      </c>
      <c r="D727" s="16">
        <v>37.6</v>
      </c>
      <c r="E727" s="12">
        <v>45339</v>
      </c>
      <c r="F727" s="12">
        <v>6639</v>
      </c>
      <c r="G727" s="12">
        <f>SUM(G717:G726)</f>
        <v>1574149</v>
      </c>
      <c r="H727" s="81">
        <f t="shared" si="660"/>
        <v>34669</v>
      </c>
      <c r="I727" s="117"/>
      <c r="J727" s="117"/>
      <c r="K727" s="77">
        <f t="shared" si="658"/>
        <v>41865.664893617017</v>
      </c>
      <c r="L727" s="23">
        <f t="shared" si="659"/>
        <v>2304.4414893617022</v>
      </c>
      <c r="M727" s="31">
        <f>(H727-H713)/H713</f>
        <v>4.1127233759087091E-3</v>
      </c>
      <c r="N727" s="33">
        <f t="shared" si="662"/>
        <v>0.12772711531801917</v>
      </c>
      <c r="O727" s="45">
        <f>F727/D727</f>
        <v>176.56914893617019</v>
      </c>
      <c r="P727" s="53">
        <f t="shared" si="664"/>
        <v>7.662123327985966E-2</v>
      </c>
      <c r="Q727" s="55">
        <f t="shared" si="665"/>
        <v>922.04787234042544</v>
      </c>
      <c r="R727" s="74">
        <f>G727/H727</f>
        <v>45.405088119068907</v>
      </c>
      <c r="S727" s="92">
        <f t="shared" si="667"/>
        <v>24.920212765957444</v>
      </c>
      <c r="T727" s="93">
        <f t="shared" si="668"/>
        <v>2.5</v>
      </c>
      <c r="V727" s="108" t="str">
        <f t="shared" si="669"/>
        <v>Canada</v>
      </c>
      <c r="W727" s="109">
        <f t="shared" si="670"/>
        <v>13.763355367515622</v>
      </c>
      <c r="X727" s="103">
        <f t="shared" si="671"/>
        <v>3.0725886524822697E-2</v>
      </c>
      <c r="Y727" s="122">
        <f t="shared" si="672"/>
        <v>0.59988228097914531</v>
      </c>
      <c r="Z727" s="123">
        <f t="shared" si="673"/>
        <v>0.12772711531801917</v>
      </c>
      <c r="AA727" s="123">
        <f t="shared" si="674"/>
        <v>7.662123327985966E-2</v>
      </c>
      <c r="AB727" s="124">
        <f t="shared" si="675"/>
        <v>1.2920641001531766E-2</v>
      </c>
    </row>
    <row r="728" spans="2:28" ht="15" thickBot="1" x14ac:dyDescent="0.35">
      <c r="B728" s="6" t="s">
        <v>9</v>
      </c>
      <c r="C728" s="7">
        <v>1717552</v>
      </c>
      <c r="D728" s="7">
        <v>327</v>
      </c>
      <c r="E728" s="7">
        <v>469262</v>
      </c>
      <c r="F728" s="7">
        <v>100269</v>
      </c>
      <c r="G728" s="7">
        <v>15393647</v>
      </c>
      <c r="H728" s="82">
        <f t="shared" si="660"/>
        <v>1148021</v>
      </c>
      <c r="I728" s="117"/>
      <c r="J728" s="117"/>
      <c r="K728" s="78">
        <f t="shared" si="658"/>
        <v>47075.373088685017</v>
      </c>
      <c r="L728" s="24">
        <f t="shared" si="659"/>
        <v>5252.452599388379</v>
      </c>
      <c r="M728" s="31">
        <f>(H728-H714)/H714</f>
        <v>3.8439173680183628E-3</v>
      </c>
      <c r="N728" s="33">
        <f t="shared" si="662"/>
        <v>0.17605538592280315</v>
      </c>
      <c r="O728" s="46">
        <f>F728/D728</f>
        <v>306.63302752293578</v>
      </c>
      <c r="P728" s="52">
        <f t="shared" si="664"/>
        <v>5.8379018510065488E-2</v>
      </c>
      <c r="Q728" s="54">
        <f t="shared" si="665"/>
        <v>3510.7675840978595</v>
      </c>
      <c r="R728" s="72">
        <f>G728/H728</f>
        <v>13.408854890285108</v>
      </c>
      <c r="S728" s="92">
        <f t="shared" si="667"/>
        <v>52.021406727828747</v>
      </c>
      <c r="T728" s="93">
        <f t="shared" si="668"/>
        <v>1.7889908256880733</v>
      </c>
      <c r="V728" s="108" t="str">
        <f t="shared" si="669"/>
        <v>USA</v>
      </c>
      <c r="W728" s="109">
        <f t="shared" si="670"/>
        <v>29.90651126058604</v>
      </c>
      <c r="X728" s="103">
        <f t="shared" si="671"/>
        <v>6.2282365765878776E-2</v>
      </c>
      <c r="Y728" s="122">
        <f t="shared" si="672"/>
        <v>0.3315946183870998</v>
      </c>
      <c r="Z728" s="123">
        <f t="shared" si="673"/>
        <v>0.17605538592280315</v>
      </c>
      <c r="AA728" s="123">
        <f t="shared" si="674"/>
        <v>5.8379018510065488E-2</v>
      </c>
      <c r="AB728" s="124">
        <f t="shared" si="675"/>
        <v>3.610573430920995E-2</v>
      </c>
    </row>
    <row r="729" spans="2:28" ht="15" thickBot="1" x14ac:dyDescent="0.35"/>
    <row r="730" spans="2:28" ht="43.8" thickBot="1" x14ac:dyDescent="0.35">
      <c r="B730" s="96">
        <v>46508</v>
      </c>
      <c r="C730" s="18" t="s">
        <v>8</v>
      </c>
      <c r="D730" s="19" t="s">
        <v>17</v>
      </c>
      <c r="E730" s="19" t="s">
        <v>15</v>
      </c>
      <c r="F730" s="19" t="s">
        <v>16</v>
      </c>
      <c r="G730" s="19" t="s">
        <v>14</v>
      </c>
      <c r="H730" s="20" t="s">
        <v>38</v>
      </c>
      <c r="I730" s="116"/>
      <c r="J730" s="116"/>
      <c r="K730" s="19" t="s">
        <v>21</v>
      </c>
      <c r="L730" s="19" t="s">
        <v>20</v>
      </c>
      <c r="M730" s="19" t="s">
        <v>40</v>
      </c>
      <c r="N730" s="19" t="s">
        <v>32</v>
      </c>
      <c r="O730" s="19" t="s">
        <v>22</v>
      </c>
      <c r="P730" s="51" t="s">
        <v>34</v>
      </c>
      <c r="Q730" s="20" t="s">
        <v>35</v>
      </c>
      <c r="R730" s="63" t="s">
        <v>39</v>
      </c>
      <c r="S730" s="91" t="s">
        <v>43</v>
      </c>
      <c r="T730" s="91" t="s">
        <v>44</v>
      </c>
      <c r="V730" s="104" t="s">
        <v>48</v>
      </c>
      <c r="W730" s="105" t="s">
        <v>49</v>
      </c>
      <c r="X730" s="106" t="s">
        <v>50</v>
      </c>
      <c r="Y730" s="61" t="s">
        <v>52</v>
      </c>
      <c r="Z730" s="61" t="s">
        <v>33</v>
      </c>
      <c r="AA730" s="61" t="s">
        <v>37</v>
      </c>
      <c r="AB730" s="61" t="s">
        <v>54</v>
      </c>
    </row>
    <row r="731" spans="2:28" x14ac:dyDescent="0.3">
      <c r="B731" s="3" t="s">
        <v>0</v>
      </c>
      <c r="C731" s="1">
        <v>26483</v>
      </c>
      <c r="D731" s="14">
        <v>14.45</v>
      </c>
      <c r="E731" s="1">
        <v>20372</v>
      </c>
      <c r="F731" s="1">
        <v>2155</v>
      </c>
      <c r="G731" s="1">
        <v>644547</v>
      </c>
      <c r="H731" s="118">
        <f>C731-E731-F731</f>
        <v>3956</v>
      </c>
      <c r="I731" s="117"/>
      <c r="J731" s="117"/>
      <c r="K731" s="114">
        <f t="shared" ref="K731:K742" si="676">G731/D731</f>
        <v>44605.328719723184</v>
      </c>
      <c r="L731" s="21">
        <f t="shared" ref="L731:L742" si="677">C731/D731</f>
        <v>1832.733564013841</v>
      </c>
      <c r="M731" s="31">
        <f>(H731-H717)/H717</f>
        <v>-3.7469586374695864E-2</v>
      </c>
      <c r="N731" s="31">
        <f>F731/(E731+F731)</f>
        <v>9.566298219913881E-2</v>
      </c>
      <c r="O731" s="43">
        <f>F731/D731</f>
        <v>149.13494809688581</v>
      </c>
      <c r="P731" s="49">
        <f>F731/C731</f>
        <v>8.1372956236075975E-2</v>
      </c>
      <c r="Q731" s="47">
        <f>(C731-E731-F731)/D731</f>
        <v>273.77162629757788</v>
      </c>
      <c r="R731" s="66">
        <f>G731/H731</f>
        <v>162.92896865520729</v>
      </c>
      <c r="S731" s="92">
        <f>(C731-C717)/D731</f>
        <v>20.207612456747405</v>
      </c>
      <c r="T731" s="93">
        <f>(F731-F717)/D731</f>
        <v>2.2145328719723185</v>
      </c>
      <c r="V731" s="101" t="str">
        <f>B731</f>
        <v>ON</v>
      </c>
      <c r="W731" s="102">
        <f>L731/180+IFERROR((D731*C731*13)/(F731*F731),500)</f>
        <v>11.253085857178942</v>
      </c>
      <c r="X731" s="103">
        <f>L731/75000*K$741/K731</f>
        <v>2.3297334801426924E-2</v>
      </c>
      <c r="Y731" s="122">
        <f>(E731+F731)/C731</f>
        <v>0.85062115319261411</v>
      </c>
      <c r="Z731" s="123">
        <f>N731</f>
        <v>9.566298219913881E-2</v>
      </c>
      <c r="AA731" s="123">
        <f>P731</f>
        <v>8.1372956236075975E-2</v>
      </c>
      <c r="AB731" s="124">
        <f>X367</f>
        <v>0</v>
      </c>
    </row>
    <row r="732" spans="2:28" x14ac:dyDescent="0.3">
      <c r="B732" s="5" t="s">
        <v>1</v>
      </c>
      <c r="C732" s="1">
        <v>49139</v>
      </c>
      <c r="D732" s="14">
        <v>8.43</v>
      </c>
      <c r="E732" s="1">
        <v>15319</v>
      </c>
      <c r="F732" s="1">
        <v>4228</v>
      </c>
      <c r="G732" s="1">
        <f>390632+12960</f>
        <v>403592</v>
      </c>
      <c r="H732" s="118">
        <f t="shared" ref="H732:H742" si="678">C732-E732-F732</f>
        <v>29592</v>
      </c>
      <c r="I732" s="117"/>
      <c r="J732" s="117"/>
      <c r="K732" s="114">
        <f t="shared" si="676"/>
        <v>47875.68208778173</v>
      </c>
      <c r="L732" s="21">
        <f t="shared" si="677"/>
        <v>5829.0628706998814</v>
      </c>
      <c r="M732" s="31">
        <f t="shared" ref="M732:M738" si="679">(H732-H718)/H718</f>
        <v>4.4806517311608961E-3</v>
      </c>
      <c r="N732" s="31">
        <f t="shared" ref="N732:N742" si="680">F732/(E732+F732)</f>
        <v>0.21629917634419604</v>
      </c>
      <c r="O732" s="43">
        <f t="shared" ref="O732:O740" si="681">F732/D732</f>
        <v>501.54211150652435</v>
      </c>
      <c r="P732" s="49">
        <f t="shared" ref="P732:P742" si="682">F732/C732</f>
        <v>8.6041636988949718E-2</v>
      </c>
      <c r="Q732" s="47">
        <f t="shared" ref="Q732:Q742" si="683">(C732-E732-F732)/D732</f>
        <v>3510.3202846975091</v>
      </c>
      <c r="R732" s="66">
        <f t="shared" ref="R732:R737" si="684">G732/H732</f>
        <v>13.638550959718843</v>
      </c>
      <c r="S732" s="92">
        <f t="shared" ref="S732:S742" si="685">(C732-C718)/D732</f>
        <v>64.175563463819699</v>
      </c>
      <c r="T732" s="93">
        <f t="shared" ref="T732:T742" si="686">(F732-F718)/D732</f>
        <v>10.557532621589562</v>
      </c>
      <c r="V732" s="98" t="str">
        <f t="shared" ref="V732:V742" si="687">B732</f>
        <v>QC</v>
      </c>
      <c r="W732" s="102">
        <f t="shared" ref="W732:W742" si="688">L732/180+IFERROR((D732*C732*13)/(F732*F732),500)</f>
        <v>32.684932773312305</v>
      </c>
      <c r="X732" s="103">
        <f t="shared" ref="X732:X742" si="689">L732/75000*K$741/K732</f>
        <v>6.9036285610009351E-2</v>
      </c>
      <c r="Y732" s="122">
        <f t="shared" ref="Y732:Y742" si="690">(E732+F732)/C732</f>
        <v>0.39778994281527913</v>
      </c>
      <c r="Z732" s="123">
        <f t="shared" ref="Z732:Z742" si="691">N732</f>
        <v>0.21629917634419604</v>
      </c>
      <c r="AA732" s="123">
        <f t="shared" ref="AA732:AA742" si="692">P732</f>
        <v>8.6041636988949718E-2</v>
      </c>
      <c r="AB732" s="124">
        <f t="shared" ref="AB732:AB742" si="693">X368</f>
        <v>0</v>
      </c>
    </row>
    <row r="733" spans="2:28" x14ac:dyDescent="0.3">
      <c r="B733" s="5" t="s">
        <v>2</v>
      </c>
      <c r="C733" s="1">
        <v>2550</v>
      </c>
      <c r="D733" s="14">
        <v>5.0199999999999996</v>
      </c>
      <c r="E733" s="1">
        <v>2144</v>
      </c>
      <c r="F733" s="1">
        <v>162</v>
      </c>
      <c r="G733" s="95">
        <v>138043</v>
      </c>
      <c r="H733" s="118">
        <f t="shared" si="678"/>
        <v>244</v>
      </c>
      <c r="I733" s="117"/>
      <c r="J733" s="117"/>
      <c r="K733" s="114">
        <f t="shared" si="676"/>
        <v>27498.605577689246</v>
      </c>
      <c r="L733" s="21">
        <f t="shared" si="677"/>
        <v>507.96812749003988</v>
      </c>
      <c r="M733" s="31">
        <f t="shared" si="679"/>
        <v>-5.4263565891472867E-2</v>
      </c>
      <c r="N733" s="31">
        <f t="shared" si="680"/>
        <v>7.0251517779705119E-2</v>
      </c>
      <c r="O733" s="43">
        <f t="shared" si="681"/>
        <v>32.270916334661358</v>
      </c>
      <c r="P733" s="49">
        <f t="shared" si="682"/>
        <v>6.3529411764705876E-2</v>
      </c>
      <c r="Q733" s="47">
        <f t="shared" si="683"/>
        <v>48.605577689243034</v>
      </c>
      <c r="R733" s="66">
        <f t="shared" si="684"/>
        <v>565.75</v>
      </c>
      <c r="S733" s="92">
        <f t="shared" si="685"/>
        <v>1.7928286852589643</v>
      </c>
      <c r="T733" s="93">
        <f t="shared" si="686"/>
        <v>0.19920318725099603</v>
      </c>
      <c r="V733" s="98" t="str">
        <f t="shared" si="687"/>
        <v>BC</v>
      </c>
      <c r="W733" s="102">
        <f t="shared" si="688"/>
        <v>9.1630373795171387</v>
      </c>
      <c r="X733" s="103">
        <f t="shared" si="689"/>
        <v>1.0474165774124343E-2</v>
      </c>
      <c r="Y733" s="122">
        <f t="shared" si="690"/>
        <v>0.90431372549019606</v>
      </c>
      <c r="Z733" s="123">
        <f t="shared" si="691"/>
        <v>7.0251517779705119E-2</v>
      </c>
      <c r="AA733" s="123">
        <f t="shared" si="692"/>
        <v>6.3529411764705876E-2</v>
      </c>
      <c r="AB733" s="124">
        <f t="shared" si="693"/>
        <v>0</v>
      </c>
    </row>
    <row r="734" spans="2:28" x14ac:dyDescent="0.3">
      <c r="B734" s="5" t="s">
        <v>3</v>
      </c>
      <c r="C734" s="1">
        <v>6926</v>
      </c>
      <c r="D734" s="14">
        <v>4.34</v>
      </c>
      <c r="E734" s="1">
        <v>6106</v>
      </c>
      <c r="F734" s="1">
        <v>141</v>
      </c>
      <c r="G734" s="1">
        <v>245949</v>
      </c>
      <c r="H734" s="118">
        <f t="shared" si="678"/>
        <v>679</v>
      </c>
      <c r="I734" s="117"/>
      <c r="J734" s="117"/>
      <c r="K734" s="114">
        <f t="shared" si="676"/>
        <v>56670.276497695857</v>
      </c>
      <c r="L734" s="21">
        <f t="shared" si="677"/>
        <v>1595.852534562212</v>
      </c>
      <c r="M734" s="31">
        <f t="shared" si="679"/>
        <v>-4.9019607843137254E-2</v>
      </c>
      <c r="N734" s="31">
        <f t="shared" si="680"/>
        <v>2.2570834000320155E-2</v>
      </c>
      <c r="O734" s="43">
        <f t="shared" si="681"/>
        <v>32.488479262672811</v>
      </c>
      <c r="P734" s="49">
        <f t="shared" si="682"/>
        <v>2.0358071036673406E-2</v>
      </c>
      <c r="Q734" s="47">
        <f t="shared" si="683"/>
        <v>156.45161290322582</v>
      </c>
      <c r="R734" s="66">
        <f t="shared" si="684"/>
        <v>362.22238586156112</v>
      </c>
      <c r="S734" s="92">
        <f t="shared" si="685"/>
        <v>5.7603686635944706</v>
      </c>
      <c r="T734" s="93">
        <f t="shared" si="686"/>
        <v>0.46082949308755761</v>
      </c>
      <c r="V734" s="98" t="str">
        <f t="shared" si="687"/>
        <v>AL</v>
      </c>
      <c r="W734" s="102">
        <f t="shared" si="688"/>
        <v>28.521041820954494</v>
      </c>
      <c r="X734" s="103">
        <f t="shared" si="689"/>
        <v>1.5967285027003088E-2</v>
      </c>
      <c r="Y734" s="122">
        <f t="shared" si="690"/>
        <v>0.90196361536240255</v>
      </c>
      <c r="Z734" s="123">
        <f t="shared" si="691"/>
        <v>2.2570834000320155E-2</v>
      </c>
      <c r="AA734" s="123">
        <f t="shared" si="692"/>
        <v>2.0358071036673406E-2</v>
      </c>
      <c r="AB734" s="124">
        <f t="shared" si="693"/>
        <v>0</v>
      </c>
    </row>
    <row r="735" spans="2:28" x14ac:dyDescent="0.3">
      <c r="B735" s="5" t="s">
        <v>4</v>
      </c>
      <c r="C735" s="1">
        <v>292</v>
      </c>
      <c r="D735" s="14">
        <v>1.36</v>
      </c>
      <c r="E735" s="1">
        <v>271</v>
      </c>
      <c r="F735" s="1">
        <v>7</v>
      </c>
      <c r="G735" s="1">
        <v>40466</v>
      </c>
      <c r="H735" s="118">
        <f t="shared" si="678"/>
        <v>14</v>
      </c>
      <c r="I735" s="117"/>
      <c r="J735" s="117"/>
      <c r="K735" s="114">
        <f t="shared" si="676"/>
        <v>29754.411764705881</v>
      </c>
      <c r="L735" s="21">
        <f t="shared" si="677"/>
        <v>214.70588235294116</v>
      </c>
      <c r="M735" s="31">
        <f t="shared" si="679"/>
        <v>-0.125</v>
      </c>
      <c r="N735" s="31">
        <f t="shared" si="680"/>
        <v>2.5179856115107913E-2</v>
      </c>
      <c r="O735" s="43">
        <f t="shared" si="681"/>
        <v>5.1470588235294112</v>
      </c>
      <c r="P735" s="49">
        <f t="shared" si="682"/>
        <v>2.3972602739726026E-2</v>
      </c>
      <c r="Q735" s="47">
        <f t="shared" si="683"/>
        <v>10.294117647058822</v>
      </c>
      <c r="R735" s="66">
        <f t="shared" si="684"/>
        <v>2890.4285714285716</v>
      </c>
      <c r="S735" s="92">
        <f t="shared" si="685"/>
        <v>0</v>
      </c>
      <c r="T735" s="93">
        <f t="shared" si="686"/>
        <v>0</v>
      </c>
      <c r="V735" s="98" t="str">
        <f t="shared" si="687"/>
        <v>MA</v>
      </c>
      <c r="W735" s="102">
        <f t="shared" si="688"/>
        <v>106.55117780445512</v>
      </c>
      <c r="X735" s="103">
        <f t="shared" si="689"/>
        <v>4.0915345795945321E-3</v>
      </c>
      <c r="Y735" s="122">
        <f t="shared" si="690"/>
        <v>0.95205479452054798</v>
      </c>
      <c r="Z735" s="123">
        <f t="shared" si="691"/>
        <v>2.5179856115107913E-2</v>
      </c>
      <c r="AA735" s="123">
        <f t="shared" si="692"/>
        <v>2.3972602739726026E-2</v>
      </c>
      <c r="AB735" s="124">
        <f t="shared" si="693"/>
        <v>0</v>
      </c>
    </row>
    <row r="736" spans="2:28" x14ac:dyDescent="0.3">
      <c r="B736" s="5" t="s">
        <v>5</v>
      </c>
      <c r="C736" s="1">
        <v>637</v>
      </c>
      <c r="D736" s="14">
        <v>1.17</v>
      </c>
      <c r="E736" s="1">
        <v>559</v>
      </c>
      <c r="F736" s="1">
        <v>10</v>
      </c>
      <c r="G736" s="1">
        <v>45118</v>
      </c>
      <c r="H736" s="118">
        <f t="shared" si="678"/>
        <v>68</v>
      </c>
      <c r="I736" s="117"/>
      <c r="J736" s="117"/>
      <c r="K736" s="114">
        <f t="shared" si="676"/>
        <v>38562.393162393164</v>
      </c>
      <c r="L736" s="21">
        <f t="shared" si="677"/>
        <v>544.44444444444446</v>
      </c>
      <c r="M736" s="31">
        <f t="shared" si="679"/>
        <v>-0.11688311688311688</v>
      </c>
      <c r="N736" s="31">
        <f t="shared" si="680"/>
        <v>1.7574692442882251E-2</v>
      </c>
      <c r="O736" s="43">
        <f t="shared" si="681"/>
        <v>8.5470085470085468</v>
      </c>
      <c r="P736" s="49">
        <f t="shared" si="682"/>
        <v>1.5698587127158554E-2</v>
      </c>
      <c r="Q736" s="47">
        <f t="shared" si="683"/>
        <v>58.119658119658126</v>
      </c>
      <c r="R736" s="66">
        <f t="shared" si="684"/>
        <v>663.5</v>
      </c>
      <c r="S736" s="92">
        <f t="shared" si="685"/>
        <v>2.5641025641025643</v>
      </c>
      <c r="T736" s="93">
        <f t="shared" si="686"/>
        <v>1.7094017094017095</v>
      </c>
      <c r="V736" s="98" t="str">
        <f t="shared" si="687"/>
        <v>SA</v>
      </c>
      <c r="W736" s="102">
        <f t="shared" si="688"/>
        <v>99.912391358024706</v>
      </c>
      <c r="X736" s="103">
        <f t="shared" si="689"/>
        <v>8.0054038205254682E-3</v>
      </c>
      <c r="Y736" s="122">
        <f t="shared" si="690"/>
        <v>0.89324960753532179</v>
      </c>
      <c r="Z736" s="123">
        <f t="shared" si="691"/>
        <v>1.7574692442882251E-2</v>
      </c>
      <c r="AA736" s="123">
        <f t="shared" si="692"/>
        <v>1.5698587127158554E-2</v>
      </c>
      <c r="AB736" s="124">
        <f t="shared" si="693"/>
        <v>0</v>
      </c>
    </row>
    <row r="737" spans="2:28" x14ac:dyDescent="0.3">
      <c r="B737" s="5" t="s">
        <v>6</v>
      </c>
      <c r="C737" s="1">
        <v>1053</v>
      </c>
      <c r="D737" s="14">
        <v>0.96499999999999997</v>
      </c>
      <c r="E737" s="1">
        <v>975</v>
      </c>
      <c r="F737" s="1">
        <v>59</v>
      </c>
      <c r="G737" s="1">
        <f>39441+C737</f>
        <v>40494</v>
      </c>
      <c r="H737" s="118">
        <f t="shared" si="678"/>
        <v>19</v>
      </c>
      <c r="I737" s="117"/>
      <c r="J737" s="117"/>
      <c r="K737" s="114">
        <f t="shared" si="676"/>
        <v>41962.694300518138</v>
      </c>
      <c r="L737" s="21">
        <f t="shared" si="677"/>
        <v>1091.1917098445597</v>
      </c>
      <c r="M737" s="31">
        <f t="shared" si="679"/>
        <v>0.11764705882352941</v>
      </c>
      <c r="N737" s="31">
        <f t="shared" si="680"/>
        <v>5.7059961315280461E-2</v>
      </c>
      <c r="O737" s="43">
        <f t="shared" si="681"/>
        <v>61.139896373056999</v>
      </c>
      <c r="P737" s="49">
        <f t="shared" si="682"/>
        <v>5.6030389363722698E-2</v>
      </c>
      <c r="Q737" s="47">
        <f t="shared" si="683"/>
        <v>19.689119170984455</v>
      </c>
      <c r="R737" s="66">
        <f t="shared" si="684"/>
        <v>2131.2631578947367</v>
      </c>
      <c r="S737" s="92">
        <f t="shared" si="685"/>
        <v>1.0362694300518136</v>
      </c>
      <c r="T737" s="93">
        <f t="shared" si="686"/>
        <v>0</v>
      </c>
      <c r="V737" s="98" t="str">
        <f t="shared" si="687"/>
        <v>NS</v>
      </c>
      <c r="W737" s="102">
        <f t="shared" si="688"/>
        <v>9.8570296561794386</v>
      </c>
      <c r="X737" s="103">
        <f t="shared" si="689"/>
        <v>1.4744543951349767E-2</v>
      </c>
      <c r="Y737" s="122">
        <f t="shared" si="690"/>
        <v>0.98195631528964866</v>
      </c>
      <c r="Z737" s="123">
        <f t="shared" si="691"/>
        <v>5.7059961315280461E-2</v>
      </c>
      <c r="AA737" s="123">
        <f t="shared" si="692"/>
        <v>5.6030389363722698E-2</v>
      </c>
      <c r="AB737" s="124">
        <f t="shared" si="693"/>
        <v>0</v>
      </c>
    </row>
    <row r="738" spans="2:28" x14ac:dyDescent="0.3">
      <c r="B738" s="5" t="s">
        <v>7</v>
      </c>
      <c r="C738" s="1">
        <v>123</v>
      </c>
      <c r="D738" s="14">
        <v>0.77200000000000002</v>
      </c>
      <c r="E738" s="1">
        <v>120</v>
      </c>
      <c r="F738" s="1">
        <v>0</v>
      </c>
      <c r="G738" s="1">
        <v>23296</v>
      </c>
      <c r="H738" s="118">
        <f t="shared" si="678"/>
        <v>3</v>
      </c>
      <c r="I738" s="117"/>
      <c r="J738" s="117"/>
      <c r="K738" s="114">
        <f t="shared" si="676"/>
        <v>30176.165803108808</v>
      </c>
      <c r="L738" s="21">
        <f t="shared" si="677"/>
        <v>159.32642487046633</v>
      </c>
      <c r="M738" s="31">
        <f t="shared" si="679"/>
        <v>0.5</v>
      </c>
      <c r="N738" s="31">
        <f t="shared" si="680"/>
        <v>0</v>
      </c>
      <c r="O738" s="43">
        <f t="shared" si="681"/>
        <v>0</v>
      </c>
      <c r="P738" s="49">
        <f t="shared" si="682"/>
        <v>0</v>
      </c>
      <c r="Q738" s="47">
        <f t="shared" si="683"/>
        <v>3.8860103626943006</v>
      </c>
      <c r="R738" s="66">
        <f>IFERROR(G738/H738,20000)</f>
        <v>7765.333333333333</v>
      </c>
      <c r="S738" s="92">
        <f t="shared" si="685"/>
        <v>1.2953367875647668</v>
      </c>
      <c r="T738" s="93">
        <f t="shared" si="686"/>
        <v>0</v>
      </c>
      <c r="V738" s="98" t="str">
        <f t="shared" si="687"/>
        <v>NB</v>
      </c>
      <c r="W738" s="102">
        <f t="shared" si="688"/>
        <v>500.88514680483593</v>
      </c>
      <c r="X738" s="103">
        <f t="shared" si="689"/>
        <v>2.9937629234130232E-3</v>
      </c>
      <c r="Y738" s="122">
        <f t="shared" si="690"/>
        <v>0.97560975609756095</v>
      </c>
      <c r="Z738" s="123">
        <f t="shared" si="691"/>
        <v>0</v>
      </c>
      <c r="AA738" s="123">
        <f t="shared" si="692"/>
        <v>0</v>
      </c>
      <c r="AB738" s="124">
        <f t="shared" si="693"/>
        <v>0</v>
      </c>
    </row>
    <row r="739" spans="2:28" x14ac:dyDescent="0.3">
      <c r="B739" s="5" t="s">
        <v>18</v>
      </c>
      <c r="C739" s="9">
        <v>27</v>
      </c>
      <c r="D739" s="15">
        <v>0.154</v>
      </c>
      <c r="E739" s="9">
        <v>27</v>
      </c>
      <c r="F739" s="9">
        <v>0</v>
      </c>
      <c r="G739" s="9">
        <v>5857</v>
      </c>
      <c r="H739" s="118">
        <f t="shared" si="678"/>
        <v>0</v>
      </c>
      <c r="I739" s="117"/>
      <c r="J739" s="117"/>
      <c r="K739" s="115">
        <f t="shared" si="676"/>
        <v>38032.467532467534</v>
      </c>
      <c r="L739" s="22">
        <f t="shared" si="677"/>
        <v>175.32467532467533</v>
      </c>
      <c r="M739" s="31">
        <v>0</v>
      </c>
      <c r="N739" s="31">
        <f t="shared" si="680"/>
        <v>0</v>
      </c>
      <c r="O739" s="44">
        <f t="shared" si="681"/>
        <v>0</v>
      </c>
      <c r="P739" s="49">
        <f t="shared" si="682"/>
        <v>0</v>
      </c>
      <c r="Q739" s="47">
        <f t="shared" si="683"/>
        <v>0</v>
      </c>
      <c r="R739" s="66">
        <f>IFERROR(G739/H739,20000)</f>
        <v>20000</v>
      </c>
      <c r="S739" s="92">
        <f t="shared" si="685"/>
        <v>0</v>
      </c>
      <c r="T739" s="93">
        <f t="shared" si="686"/>
        <v>0</v>
      </c>
      <c r="V739" s="98" t="str">
        <f t="shared" si="687"/>
        <v>PEI</v>
      </c>
      <c r="W739" s="102">
        <f t="shared" si="688"/>
        <v>500.97402597402595</v>
      </c>
      <c r="X739" s="103">
        <f t="shared" si="689"/>
        <v>2.6138592119268086E-3</v>
      </c>
      <c r="Y739" s="122">
        <f t="shared" si="690"/>
        <v>1</v>
      </c>
      <c r="Z739" s="123">
        <f t="shared" si="691"/>
        <v>0</v>
      </c>
      <c r="AA739" s="123">
        <f t="shared" si="692"/>
        <v>0</v>
      </c>
      <c r="AB739" s="124">
        <f t="shared" si="693"/>
        <v>0</v>
      </c>
    </row>
    <row r="740" spans="2:28" ht="15" thickBot="1" x14ac:dyDescent="0.35">
      <c r="B740" s="5" t="s">
        <v>11</v>
      </c>
      <c r="C740" s="9">
        <v>260</v>
      </c>
      <c r="D740" s="15">
        <v>0.52400000000000002</v>
      </c>
      <c r="E740" s="9">
        <v>255</v>
      </c>
      <c r="F740" s="9">
        <v>3</v>
      </c>
      <c r="G740" s="9">
        <v>11617</v>
      </c>
      <c r="H740" s="119">
        <f t="shared" si="678"/>
        <v>2</v>
      </c>
      <c r="I740" s="117"/>
      <c r="J740" s="117"/>
      <c r="K740" s="115">
        <f t="shared" si="676"/>
        <v>22169.847328244276</v>
      </c>
      <c r="L740" s="22">
        <f t="shared" si="677"/>
        <v>496.18320610687022</v>
      </c>
      <c r="M740" s="31">
        <f>(H740-H726)/H726</f>
        <v>0</v>
      </c>
      <c r="N740" s="32">
        <f t="shared" si="680"/>
        <v>1.1627906976744186E-2</v>
      </c>
      <c r="O740" s="44">
        <f t="shared" si="681"/>
        <v>5.7251908396946565</v>
      </c>
      <c r="P740" s="50">
        <f t="shared" si="682"/>
        <v>1.1538461538461539E-2</v>
      </c>
      <c r="Q740" s="48">
        <f t="shared" si="683"/>
        <v>3.8167938931297707</v>
      </c>
      <c r="R740" s="67">
        <f>G740/H740</f>
        <v>5808.5</v>
      </c>
      <c r="S740" s="92">
        <f t="shared" si="685"/>
        <v>0</v>
      </c>
      <c r="T740" s="93">
        <f t="shared" si="686"/>
        <v>0</v>
      </c>
      <c r="V740" s="99" t="str">
        <f t="shared" si="687"/>
        <v>NFLD</v>
      </c>
      <c r="W740" s="120">
        <f t="shared" si="688"/>
        <v>199.54768447837151</v>
      </c>
      <c r="X740" s="103">
        <f t="shared" si="689"/>
        <v>1.2690332766177226E-2</v>
      </c>
      <c r="Y740" s="122">
        <f t="shared" si="690"/>
        <v>0.99230769230769234</v>
      </c>
      <c r="Z740" s="123">
        <f t="shared" si="691"/>
        <v>1.1627906976744186E-2</v>
      </c>
      <c r="AA740" s="123">
        <f t="shared" si="692"/>
        <v>1.1538461538461539E-2</v>
      </c>
      <c r="AB740" s="124">
        <f t="shared" si="693"/>
        <v>0</v>
      </c>
    </row>
    <row r="741" spans="2:28" ht="15" thickBot="1" x14ac:dyDescent="0.35">
      <c r="B741" s="11" t="s">
        <v>10</v>
      </c>
      <c r="C741" s="12">
        <v>87519</v>
      </c>
      <c r="D741" s="16">
        <v>37.6</v>
      </c>
      <c r="E741" s="12">
        <v>46164</v>
      </c>
      <c r="F741" s="12">
        <v>6765</v>
      </c>
      <c r="G741" s="12">
        <f>SUM(G731:G740)</f>
        <v>1598979</v>
      </c>
      <c r="H741" s="81">
        <f t="shared" si="678"/>
        <v>34590</v>
      </c>
      <c r="I741" s="117"/>
      <c r="J741" s="117"/>
      <c r="K741" s="77">
        <f t="shared" si="676"/>
        <v>42526.037234042553</v>
      </c>
      <c r="L741" s="23">
        <f t="shared" si="677"/>
        <v>2327.632978723404</v>
      </c>
      <c r="M741" s="31">
        <f>(H741-H727)/H727</f>
        <v>-2.2786927802936341E-3</v>
      </c>
      <c r="N741" s="33">
        <f t="shared" si="680"/>
        <v>0.12781273026129344</v>
      </c>
      <c r="O741" s="45">
        <f>F741/D741</f>
        <v>179.92021276595744</v>
      </c>
      <c r="P741" s="53">
        <f t="shared" si="682"/>
        <v>7.7297501114043807E-2</v>
      </c>
      <c r="Q741" s="55">
        <f t="shared" si="683"/>
        <v>919.94680851063822</v>
      </c>
      <c r="R741" s="74">
        <f>G741/H741</f>
        <v>46.226626192541197</v>
      </c>
      <c r="S741" s="92">
        <f t="shared" si="685"/>
        <v>23.191489361702128</v>
      </c>
      <c r="T741" s="93">
        <f t="shared" si="686"/>
        <v>3.3510638297872339</v>
      </c>
      <c r="V741" s="108" t="str">
        <f t="shared" si="687"/>
        <v>Canada</v>
      </c>
      <c r="W741" s="109">
        <f t="shared" si="688"/>
        <v>13.86604963881744</v>
      </c>
      <c r="X741" s="103">
        <f t="shared" si="689"/>
        <v>3.1035106382978721E-2</v>
      </c>
      <c r="Y741" s="122">
        <f t="shared" si="690"/>
        <v>0.60477153532375827</v>
      </c>
      <c r="Z741" s="123">
        <f t="shared" si="691"/>
        <v>0.12781273026129344</v>
      </c>
      <c r="AA741" s="123">
        <f t="shared" si="692"/>
        <v>7.7297501114043807E-2</v>
      </c>
      <c r="AB741" s="124">
        <f t="shared" si="693"/>
        <v>0</v>
      </c>
    </row>
    <row r="742" spans="2:28" ht="15" thickBot="1" x14ac:dyDescent="0.35">
      <c r="B742" s="6" t="s">
        <v>9</v>
      </c>
      <c r="C742" s="7">
        <v>1739391</v>
      </c>
      <c r="D742" s="7">
        <v>327</v>
      </c>
      <c r="E742" s="7">
        <v>483092</v>
      </c>
      <c r="F742" s="7">
        <v>101716</v>
      </c>
      <c r="G742" s="7">
        <v>15766764</v>
      </c>
      <c r="H742" s="82">
        <f t="shared" si="678"/>
        <v>1154583</v>
      </c>
      <c r="I742" s="117"/>
      <c r="J742" s="117"/>
      <c r="K742" s="78">
        <f t="shared" si="676"/>
        <v>48216.403669724772</v>
      </c>
      <c r="L742" s="24">
        <f t="shared" si="677"/>
        <v>5319.2385321100919</v>
      </c>
      <c r="M742" s="31">
        <f>(H742-H728)/H728</f>
        <v>5.7159233149916243E-3</v>
      </c>
      <c r="N742" s="33">
        <f t="shared" si="680"/>
        <v>0.17393058918482648</v>
      </c>
      <c r="O742" s="46">
        <f>F742/D742</f>
        <v>311.05810397553518</v>
      </c>
      <c r="P742" s="52">
        <f t="shared" si="682"/>
        <v>5.8477938542857814E-2</v>
      </c>
      <c r="Q742" s="54">
        <f t="shared" si="683"/>
        <v>3530.8348623853212</v>
      </c>
      <c r="R742" s="72">
        <f>G742/H742</f>
        <v>13.655808200882916</v>
      </c>
      <c r="S742" s="92">
        <f t="shared" si="685"/>
        <v>66.785932721712541</v>
      </c>
      <c r="T742" s="93">
        <f t="shared" si="686"/>
        <v>4.425076452599388</v>
      </c>
      <c r="V742" s="108" t="str">
        <f t="shared" si="687"/>
        <v>USA</v>
      </c>
      <c r="W742" s="109">
        <f t="shared" si="688"/>
        <v>30.266002131674789</v>
      </c>
      <c r="X742" s="103">
        <f t="shared" si="689"/>
        <v>6.2553023081175496E-2</v>
      </c>
      <c r="Y742" s="122">
        <f t="shared" si="690"/>
        <v>0.33621422670348416</v>
      </c>
      <c r="Z742" s="123">
        <f t="shared" si="691"/>
        <v>0.17393058918482648</v>
      </c>
      <c r="AA742" s="123">
        <f t="shared" si="692"/>
        <v>5.8477938542857814E-2</v>
      </c>
      <c r="AB742" s="124">
        <f t="shared" si="693"/>
        <v>0</v>
      </c>
    </row>
    <row r="743" spans="2:28" ht="15" thickBot="1" x14ac:dyDescent="0.35"/>
    <row r="744" spans="2:28" ht="43.8" thickBot="1" x14ac:dyDescent="0.35">
      <c r="B744" s="96">
        <v>46874</v>
      </c>
      <c r="C744" s="18" t="s">
        <v>8</v>
      </c>
      <c r="D744" s="19" t="s">
        <v>17</v>
      </c>
      <c r="E744" s="19" t="s">
        <v>15</v>
      </c>
      <c r="F744" s="19" t="s">
        <v>16</v>
      </c>
      <c r="G744" s="19" t="s">
        <v>14</v>
      </c>
      <c r="H744" s="20" t="s">
        <v>38</v>
      </c>
      <c r="I744" s="116"/>
      <c r="J744" s="116"/>
      <c r="K744" s="19" t="s">
        <v>21</v>
      </c>
      <c r="L744" s="19" t="s">
        <v>20</v>
      </c>
      <c r="M744" s="19" t="s">
        <v>40</v>
      </c>
      <c r="N744" s="19" t="s">
        <v>32</v>
      </c>
      <c r="O744" s="19" t="s">
        <v>22</v>
      </c>
      <c r="P744" s="51" t="s">
        <v>34</v>
      </c>
      <c r="Q744" s="20" t="s">
        <v>35</v>
      </c>
      <c r="R744" s="63" t="s">
        <v>39</v>
      </c>
      <c r="S744" s="91" t="s">
        <v>43</v>
      </c>
      <c r="T744" s="91" t="s">
        <v>44</v>
      </c>
      <c r="V744" s="104" t="s">
        <v>48</v>
      </c>
      <c r="W744" s="105" t="s">
        <v>49</v>
      </c>
      <c r="X744" s="106" t="s">
        <v>50</v>
      </c>
      <c r="Y744" s="61" t="s">
        <v>52</v>
      </c>
      <c r="Z744" s="61" t="s">
        <v>33</v>
      </c>
      <c r="AA744" s="61" t="s">
        <v>37</v>
      </c>
      <c r="AB744" s="61" t="s">
        <v>54</v>
      </c>
    </row>
    <row r="745" spans="2:28" x14ac:dyDescent="0.3">
      <c r="B745" s="3" t="s">
        <v>0</v>
      </c>
      <c r="C745" s="1">
        <v>26866</v>
      </c>
      <c r="D745" s="14">
        <v>14.45</v>
      </c>
      <c r="E745" s="1">
        <v>20673</v>
      </c>
      <c r="F745" s="1">
        <v>2189</v>
      </c>
      <c r="G745" s="1">
        <v>644547</v>
      </c>
      <c r="H745" s="118">
        <f>C745-E745-F745</f>
        <v>4004</v>
      </c>
      <c r="I745" s="117"/>
      <c r="J745" s="117"/>
      <c r="K745" s="114">
        <f t="shared" ref="K745:K756" si="694">G745/D745</f>
        <v>44605.328719723184</v>
      </c>
      <c r="L745" s="21">
        <f t="shared" ref="L745:L756" si="695">C745/D745</f>
        <v>1859.2387543252596</v>
      </c>
      <c r="M745" s="31">
        <f>(H745-H731)/H731</f>
        <v>1.2133468149646108E-2</v>
      </c>
      <c r="N745" s="31">
        <f>F745/(E745+F745)</f>
        <v>9.5748403464263845E-2</v>
      </c>
      <c r="O745" s="43">
        <f>F745/D745</f>
        <v>151.48788927335642</v>
      </c>
      <c r="P745" s="49">
        <f>F745/C745</f>
        <v>8.1478448596739375E-2</v>
      </c>
      <c r="Q745" s="47">
        <f>(C745-E745-F745)/D745</f>
        <v>277.09342560553637</v>
      </c>
      <c r="R745" s="66">
        <f>G745/H745</f>
        <v>160.97577422577422</v>
      </c>
      <c r="S745" s="92">
        <f>(C745-C731)/D745</f>
        <v>26.505190311418687</v>
      </c>
      <c r="T745" s="93">
        <f>(F745-F731)/D745</f>
        <v>2.3529411764705883</v>
      </c>
      <c r="V745" s="101" t="str">
        <f>B745</f>
        <v>ON</v>
      </c>
      <c r="W745" s="102">
        <f>L745/180+IFERROR((D745*C745*13)/(F745*F745),500)</f>
        <v>11.382332894954754</v>
      </c>
      <c r="X745" s="103">
        <f>L745/75000*K$755/K745</f>
        <v>2.3738305747462839E-2</v>
      </c>
      <c r="Y745" s="122">
        <f>(E745+F745)/C745</f>
        <v>0.85096404377279833</v>
      </c>
      <c r="Z745" s="123">
        <f>N745</f>
        <v>9.5748403464263845E-2</v>
      </c>
      <c r="AA745" s="123">
        <f>P745</f>
        <v>8.1478448596739375E-2</v>
      </c>
      <c r="AB745" s="124">
        <f>X381</f>
        <v>1.6803089730998713E-2</v>
      </c>
    </row>
    <row r="746" spans="2:28" x14ac:dyDescent="0.3">
      <c r="B746" s="5" t="s">
        <v>1</v>
      </c>
      <c r="C746" s="1">
        <v>49702</v>
      </c>
      <c r="D746" s="14">
        <v>8.43</v>
      </c>
      <c r="E746" s="1">
        <v>15618</v>
      </c>
      <c r="F746" s="1">
        <v>4302</v>
      </c>
      <c r="G746" s="1">
        <f>390632+14753</f>
        <v>405385</v>
      </c>
      <c r="H746" s="118">
        <f t="shared" ref="H746:H756" si="696">C746-E746-F746</f>
        <v>29782</v>
      </c>
      <c r="I746" s="117"/>
      <c r="J746" s="117"/>
      <c r="K746" s="114">
        <f t="shared" si="694"/>
        <v>48088.374851720051</v>
      </c>
      <c r="L746" s="21">
        <f t="shared" si="695"/>
        <v>5895.8481613285885</v>
      </c>
      <c r="M746" s="31">
        <f t="shared" ref="M746:M752" si="697">(H746-H732)/H732</f>
        <v>6.420654230873209E-3</v>
      </c>
      <c r="N746" s="31">
        <f t="shared" ref="N746:N756" si="698">F746/(E746+F746)</f>
        <v>0.21596385542168675</v>
      </c>
      <c r="O746" s="43">
        <f t="shared" ref="O746:O754" si="699">F746/D746</f>
        <v>510.3202846975089</v>
      </c>
      <c r="P746" s="49">
        <f t="shared" ref="P746:P756" si="700">F746/C746</f>
        <v>8.6555873003098471E-2</v>
      </c>
      <c r="Q746" s="47">
        <f t="shared" ref="Q746:Q756" si="701">(C746-E746-F746)/D746</f>
        <v>3532.858837485172</v>
      </c>
      <c r="R746" s="66">
        <f t="shared" ref="R746:R751" si="702">G746/H746</f>
        <v>13.611745349539991</v>
      </c>
      <c r="S746" s="92">
        <f t="shared" ref="S746:S756" si="703">(C746-C732)/D746</f>
        <v>66.785290628707003</v>
      </c>
      <c r="T746" s="93">
        <f t="shared" ref="T746:T756" si="704">(F746-F732)/D746</f>
        <v>8.7781731909845799</v>
      </c>
      <c r="V746" s="98" t="str">
        <f t="shared" ref="V746:V756" si="705">B746</f>
        <v>QC</v>
      </c>
      <c r="W746" s="102">
        <f t="shared" ref="W746:W756" si="706">L746/180+IFERROR((D746*C746*13)/(F746*F746),500)</f>
        <v>33.049021303371944</v>
      </c>
      <c r="X746" s="103">
        <f t="shared" ref="X746:X756" si="707">L746/75000*K$755/K746</f>
        <v>6.9824444651468268E-2</v>
      </c>
      <c r="Y746" s="122">
        <f t="shared" ref="Y746:Y756" si="708">(E746+F746)/C746</f>
        <v>0.40078870065590921</v>
      </c>
      <c r="Z746" s="123">
        <f t="shared" ref="Z746:Z756" si="709">N746</f>
        <v>0.21596385542168675</v>
      </c>
      <c r="AA746" s="123">
        <f t="shared" ref="AA746:AA756" si="710">P746</f>
        <v>8.6555873003098471E-2</v>
      </c>
      <c r="AB746" s="124">
        <f t="shared" ref="AB746:AB756" si="711">X382</f>
        <v>3.5074275961785237E-2</v>
      </c>
    </row>
    <row r="747" spans="2:28" x14ac:dyDescent="0.3">
      <c r="B747" s="5" t="s">
        <v>2</v>
      </c>
      <c r="C747" s="1">
        <v>2558</v>
      </c>
      <c r="D747" s="14">
        <v>5.0199999999999996</v>
      </c>
      <c r="E747" s="1">
        <v>2153</v>
      </c>
      <c r="F747" s="1">
        <v>164</v>
      </c>
      <c r="G747" s="95">
        <v>140136</v>
      </c>
      <c r="H747" s="118">
        <f t="shared" si="696"/>
        <v>241</v>
      </c>
      <c r="I747" s="117"/>
      <c r="J747" s="117"/>
      <c r="K747" s="114">
        <f t="shared" si="694"/>
        <v>27915.537848605582</v>
      </c>
      <c r="L747" s="21">
        <f t="shared" si="695"/>
        <v>509.56175298804783</v>
      </c>
      <c r="M747" s="31">
        <f t="shared" si="697"/>
        <v>-1.2295081967213115E-2</v>
      </c>
      <c r="N747" s="31">
        <f t="shared" si="698"/>
        <v>7.0781182563659908E-2</v>
      </c>
      <c r="O747" s="43">
        <f t="shared" si="699"/>
        <v>32.669322709163346</v>
      </c>
      <c r="P747" s="49">
        <f t="shared" si="700"/>
        <v>6.4112587959343242E-2</v>
      </c>
      <c r="Q747" s="47">
        <f t="shared" si="701"/>
        <v>48.007968127490045</v>
      </c>
      <c r="R747" s="66">
        <f t="shared" si="702"/>
        <v>581.47717842323652</v>
      </c>
      <c r="S747" s="92">
        <f t="shared" si="703"/>
        <v>1.5936254980079683</v>
      </c>
      <c r="T747" s="93">
        <f t="shared" si="704"/>
        <v>0.39840637450199207</v>
      </c>
      <c r="V747" s="98" t="str">
        <f t="shared" si="705"/>
        <v>BC</v>
      </c>
      <c r="W747" s="102">
        <f t="shared" si="706"/>
        <v>9.0375866110546248</v>
      </c>
      <c r="X747" s="103">
        <f t="shared" si="707"/>
        <v>1.0395661347416509E-2</v>
      </c>
      <c r="Y747" s="122">
        <f t="shared" si="708"/>
        <v>0.90578577013291639</v>
      </c>
      <c r="Z747" s="123">
        <f t="shared" si="709"/>
        <v>7.0781182563659908E-2</v>
      </c>
      <c r="AA747" s="123">
        <f t="shared" si="710"/>
        <v>6.4112587959343242E-2</v>
      </c>
      <c r="AB747" s="124">
        <f t="shared" si="711"/>
        <v>7.0161457993576275E-3</v>
      </c>
    </row>
    <row r="748" spans="2:28" x14ac:dyDescent="0.3">
      <c r="B748" s="5" t="s">
        <v>3</v>
      </c>
      <c r="C748" s="1">
        <v>6955</v>
      </c>
      <c r="D748" s="14">
        <v>4.34</v>
      </c>
      <c r="E748" s="1">
        <v>6160</v>
      </c>
      <c r="F748" s="1">
        <v>143</v>
      </c>
      <c r="G748" s="1">
        <v>245949</v>
      </c>
      <c r="H748" s="118">
        <f t="shared" si="696"/>
        <v>652</v>
      </c>
      <c r="I748" s="117"/>
      <c r="J748" s="117"/>
      <c r="K748" s="114">
        <f t="shared" si="694"/>
        <v>56670.276497695857</v>
      </c>
      <c r="L748" s="21">
        <f t="shared" si="695"/>
        <v>1602.5345622119817</v>
      </c>
      <c r="M748" s="31">
        <f t="shared" si="697"/>
        <v>-3.9764359351988215E-2</v>
      </c>
      <c r="N748" s="31">
        <f t="shared" si="698"/>
        <v>2.2687609075043629E-2</v>
      </c>
      <c r="O748" s="43">
        <f t="shared" si="699"/>
        <v>32.94930875576037</v>
      </c>
      <c r="P748" s="49">
        <f t="shared" si="700"/>
        <v>2.0560747663551402E-2</v>
      </c>
      <c r="Q748" s="47">
        <f t="shared" si="701"/>
        <v>150.23041474654377</v>
      </c>
      <c r="R748" s="66">
        <f t="shared" si="702"/>
        <v>377.22239263803681</v>
      </c>
      <c r="S748" s="92">
        <f t="shared" si="703"/>
        <v>6.6820276497695854</v>
      </c>
      <c r="T748" s="93">
        <f t="shared" si="704"/>
        <v>0.46082949308755761</v>
      </c>
      <c r="V748" s="98" t="str">
        <f t="shared" si="705"/>
        <v>AL</v>
      </c>
      <c r="W748" s="102">
        <f t="shared" si="706"/>
        <v>28.092225988413674</v>
      </c>
      <c r="X748" s="103">
        <f t="shared" si="707"/>
        <v>1.6104727226935619E-2</v>
      </c>
      <c r="Y748" s="122">
        <f t="shared" si="708"/>
        <v>0.90625449317038098</v>
      </c>
      <c r="Z748" s="123">
        <f t="shared" si="709"/>
        <v>2.2687609075043629E-2</v>
      </c>
      <c r="AA748" s="123">
        <f t="shared" si="710"/>
        <v>2.0560747663551402E-2</v>
      </c>
      <c r="AB748" s="124">
        <f t="shared" si="711"/>
        <v>9.667596756697764E-3</v>
      </c>
    </row>
    <row r="749" spans="2:28" x14ac:dyDescent="0.3">
      <c r="B749" s="5" t="s">
        <v>4</v>
      </c>
      <c r="C749" s="1">
        <v>294</v>
      </c>
      <c r="D749" s="14">
        <v>1.36</v>
      </c>
      <c r="E749" s="1">
        <v>273</v>
      </c>
      <c r="F749" s="1">
        <v>7</v>
      </c>
      <c r="G749" s="1">
        <v>41191</v>
      </c>
      <c r="H749" s="118">
        <f t="shared" si="696"/>
        <v>14</v>
      </c>
      <c r="I749" s="117"/>
      <c r="J749" s="117"/>
      <c r="K749" s="114">
        <f t="shared" si="694"/>
        <v>30287.499999999996</v>
      </c>
      <c r="L749" s="21">
        <f t="shared" si="695"/>
        <v>216.17647058823528</v>
      </c>
      <c r="M749" s="31">
        <f t="shared" si="697"/>
        <v>0</v>
      </c>
      <c r="N749" s="31">
        <f t="shared" si="698"/>
        <v>2.5000000000000001E-2</v>
      </c>
      <c r="O749" s="43">
        <f t="shared" si="699"/>
        <v>5.1470588235294112</v>
      </c>
      <c r="P749" s="49">
        <f t="shared" si="700"/>
        <v>2.3809523809523808E-2</v>
      </c>
      <c r="Q749" s="47">
        <f t="shared" si="701"/>
        <v>10.294117647058822</v>
      </c>
      <c r="R749" s="66">
        <f t="shared" si="702"/>
        <v>2942.2142857142858</v>
      </c>
      <c r="S749" s="92">
        <f t="shared" si="703"/>
        <v>1.4705882352941175</v>
      </c>
      <c r="T749" s="93">
        <f t="shared" si="704"/>
        <v>0</v>
      </c>
      <c r="V749" s="98" t="str">
        <f t="shared" si="705"/>
        <v>MA</v>
      </c>
      <c r="W749" s="102">
        <f t="shared" si="706"/>
        <v>107.28098039215686</v>
      </c>
      <c r="X749" s="103">
        <f t="shared" si="707"/>
        <v>4.0648665764107736E-3</v>
      </c>
      <c r="Y749" s="122">
        <f t="shared" si="708"/>
        <v>0.95238095238095233</v>
      </c>
      <c r="Z749" s="123">
        <f t="shared" si="709"/>
        <v>2.5000000000000001E-2</v>
      </c>
      <c r="AA749" s="123">
        <f t="shared" si="710"/>
        <v>2.3809523809523808E-2</v>
      </c>
      <c r="AB749" s="124">
        <f t="shared" si="711"/>
        <v>3.1937495387194029E-3</v>
      </c>
    </row>
    <row r="750" spans="2:28" x14ac:dyDescent="0.3">
      <c r="B750" s="5" t="s">
        <v>5</v>
      </c>
      <c r="C750" s="1">
        <v>639</v>
      </c>
      <c r="D750" s="14">
        <v>1.17</v>
      </c>
      <c r="E750" s="1">
        <v>568</v>
      </c>
      <c r="F750" s="1">
        <v>10</v>
      </c>
      <c r="G750" s="1">
        <v>45869</v>
      </c>
      <c r="H750" s="118">
        <f t="shared" si="696"/>
        <v>61</v>
      </c>
      <c r="I750" s="117"/>
      <c r="J750" s="117"/>
      <c r="K750" s="114">
        <f t="shared" si="694"/>
        <v>39204.273504273508</v>
      </c>
      <c r="L750" s="21">
        <f t="shared" si="695"/>
        <v>546.15384615384619</v>
      </c>
      <c r="M750" s="31">
        <f t="shared" si="697"/>
        <v>-0.10294117647058823</v>
      </c>
      <c r="N750" s="31">
        <f t="shared" si="698"/>
        <v>1.7301038062283738E-2</v>
      </c>
      <c r="O750" s="43">
        <f t="shared" si="699"/>
        <v>8.5470085470085468</v>
      </c>
      <c r="P750" s="49">
        <f t="shared" si="700"/>
        <v>1.5649452269170579E-2</v>
      </c>
      <c r="Q750" s="47">
        <f t="shared" si="701"/>
        <v>52.136752136752143</v>
      </c>
      <c r="R750" s="66">
        <f t="shared" si="702"/>
        <v>751.95081967213116</v>
      </c>
      <c r="S750" s="92">
        <f t="shared" si="703"/>
        <v>1.7094017094017095</v>
      </c>
      <c r="T750" s="93">
        <f t="shared" si="704"/>
        <v>0</v>
      </c>
      <c r="V750" s="98" t="str">
        <f t="shared" si="705"/>
        <v>SA</v>
      </c>
      <c r="W750" s="102">
        <f t="shared" si="706"/>
        <v>100.22608803418804</v>
      </c>
      <c r="X750" s="103">
        <f t="shared" si="707"/>
        <v>7.9338299217521866E-3</v>
      </c>
      <c r="Y750" s="122">
        <f t="shared" si="708"/>
        <v>0.90453834115805942</v>
      </c>
      <c r="Z750" s="123">
        <f t="shared" si="709"/>
        <v>1.7301038062283738E-2</v>
      </c>
      <c r="AA750" s="123">
        <f t="shared" si="710"/>
        <v>1.5649452269170579E-2</v>
      </c>
      <c r="AB750" s="124">
        <f t="shared" si="711"/>
        <v>3.5336469238406061E-3</v>
      </c>
    </row>
    <row r="751" spans="2:28" x14ac:dyDescent="0.3">
      <c r="B751" s="5" t="s">
        <v>6</v>
      </c>
      <c r="C751" s="1">
        <v>1055</v>
      </c>
      <c r="D751" s="14">
        <v>0.96499999999999997</v>
      </c>
      <c r="E751" s="1">
        <v>977</v>
      </c>
      <c r="F751" s="1">
        <v>59</v>
      </c>
      <c r="G751" s="1">
        <f>40240+C751</f>
        <v>41295</v>
      </c>
      <c r="H751" s="118">
        <f t="shared" si="696"/>
        <v>19</v>
      </c>
      <c r="I751" s="117"/>
      <c r="J751" s="117"/>
      <c r="K751" s="114">
        <f t="shared" si="694"/>
        <v>42792.74611398964</v>
      </c>
      <c r="L751" s="21">
        <f t="shared" si="695"/>
        <v>1093.2642487046633</v>
      </c>
      <c r="M751" s="31">
        <f t="shared" si="697"/>
        <v>0</v>
      </c>
      <c r="N751" s="31">
        <f t="shared" si="698"/>
        <v>5.6949806949806947E-2</v>
      </c>
      <c r="O751" s="43">
        <f t="shared" si="699"/>
        <v>61.139896373056999</v>
      </c>
      <c r="P751" s="49">
        <f t="shared" si="700"/>
        <v>5.5924170616113746E-2</v>
      </c>
      <c r="Q751" s="47">
        <f t="shared" si="701"/>
        <v>19.689119170984455</v>
      </c>
      <c r="R751" s="66">
        <f t="shared" si="702"/>
        <v>2173.4210526315787</v>
      </c>
      <c r="S751" s="92">
        <f t="shared" si="703"/>
        <v>2.0725388601036272</v>
      </c>
      <c r="T751" s="93">
        <f t="shared" si="704"/>
        <v>0</v>
      </c>
      <c r="V751" s="98" t="str">
        <f t="shared" si="705"/>
        <v>NS</v>
      </c>
      <c r="W751" s="102">
        <f t="shared" si="706"/>
        <v>9.875751459894877</v>
      </c>
      <c r="X751" s="103">
        <f t="shared" si="707"/>
        <v>1.4549775400830731E-2</v>
      </c>
      <c r="Y751" s="122">
        <f t="shared" si="708"/>
        <v>0.98199052132701425</v>
      </c>
      <c r="Z751" s="123">
        <f t="shared" si="709"/>
        <v>5.6949806949806947E-2</v>
      </c>
      <c r="AA751" s="123">
        <f t="shared" si="710"/>
        <v>5.5924170616113746E-2</v>
      </c>
      <c r="AB751" s="124">
        <f t="shared" si="711"/>
        <v>9.0929448469824429E-3</v>
      </c>
    </row>
    <row r="752" spans="2:28" x14ac:dyDescent="0.3">
      <c r="B752" s="5" t="s">
        <v>7</v>
      </c>
      <c r="C752" s="1">
        <v>126</v>
      </c>
      <c r="D752" s="14">
        <v>0.77200000000000002</v>
      </c>
      <c r="E752" s="1">
        <v>120</v>
      </c>
      <c r="F752" s="1">
        <v>0</v>
      </c>
      <c r="G752" s="1">
        <v>23693</v>
      </c>
      <c r="H752" s="118">
        <f t="shared" si="696"/>
        <v>6</v>
      </c>
      <c r="I752" s="117"/>
      <c r="J752" s="117"/>
      <c r="K752" s="114">
        <f t="shared" si="694"/>
        <v>30690.41450777202</v>
      </c>
      <c r="L752" s="21">
        <f t="shared" si="695"/>
        <v>163.21243523316062</v>
      </c>
      <c r="M752" s="31">
        <f t="shared" si="697"/>
        <v>1</v>
      </c>
      <c r="N752" s="31">
        <f t="shared" si="698"/>
        <v>0</v>
      </c>
      <c r="O752" s="43">
        <f t="shared" si="699"/>
        <v>0</v>
      </c>
      <c r="P752" s="49">
        <f t="shared" si="700"/>
        <v>0</v>
      </c>
      <c r="Q752" s="47">
        <f t="shared" si="701"/>
        <v>7.7720207253886011</v>
      </c>
      <c r="R752" s="66">
        <f>IFERROR(G752/H752,20000)</f>
        <v>3948.8333333333335</v>
      </c>
      <c r="S752" s="92">
        <f t="shared" si="703"/>
        <v>3.8860103626943006</v>
      </c>
      <c r="T752" s="93">
        <f t="shared" si="704"/>
        <v>0</v>
      </c>
      <c r="V752" s="98" t="str">
        <f t="shared" si="705"/>
        <v>NB</v>
      </c>
      <c r="W752" s="102">
        <f t="shared" si="706"/>
        <v>500.90673575129534</v>
      </c>
      <c r="X752" s="103">
        <f t="shared" si="707"/>
        <v>3.0286688500329117E-3</v>
      </c>
      <c r="Y752" s="122">
        <f t="shared" si="708"/>
        <v>0.95238095238095233</v>
      </c>
      <c r="Z752" s="123">
        <f t="shared" si="709"/>
        <v>0</v>
      </c>
      <c r="AA752" s="123">
        <f t="shared" si="710"/>
        <v>0</v>
      </c>
      <c r="AB752" s="124">
        <f t="shared" si="711"/>
        <v>2.4719145496486152E-3</v>
      </c>
    </row>
    <row r="753" spans="2:28" x14ac:dyDescent="0.3">
      <c r="B753" s="5" t="s">
        <v>18</v>
      </c>
      <c r="C753" s="9">
        <v>27</v>
      </c>
      <c r="D753" s="15">
        <v>0.154</v>
      </c>
      <c r="E753" s="9">
        <v>27</v>
      </c>
      <c r="F753" s="9">
        <v>0</v>
      </c>
      <c r="G753" s="9">
        <v>6178</v>
      </c>
      <c r="H753" s="118">
        <f t="shared" si="696"/>
        <v>0</v>
      </c>
      <c r="I753" s="117"/>
      <c r="J753" s="117"/>
      <c r="K753" s="115">
        <f t="shared" si="694"/>
        <v>40116.883116883117</v>
      </c>
      <c r="L753" s="22">
        <f t="shared" si="695"/>
        <v>175.32467532467533</v>
      </c>
      <c r="M753" s="31">
        <v>0</v>
      </c>
      <c r="N753" s="31">
        <f t="shared" si="698"/>
        <v>0</v>
      </c>
      <c r="O753" s="44">
        <f t="shared" si="699"/>
        <v>0</v>
      </c>
      <c r="P753" s="49">
        <f t="shared" si="700"/>
        <v>0</v>
      </c>
      <c r="Q753" s="47">
        <f t="shared" si="701"/>
        <v>0</v>
      </c>
      <c r="R753" s="66">
        <f>IFERROR(G753/H753,20000)</f>
        <v>20000</v>
      </c>
      <c r="S753" s="92">
        <f t="shared" si="703"/>
        <v>0</v>
      </c>
      <c r="T753" s="93">
        <f t="shared" si="704"/>
        <v>0</v>
      </c>
      <c r="V753" s="98" t="str">
        <f t="shared" si="705"/>
        <v>PEI</v>
      </c>
      <c r="W753" s="102">
        <f t="shared" si="706"/>
        <v>500.97402597402595</v>
      </c>
      <c r="X753" s="103">
        <f t="shared" si="707"/>
        <v>2.488955662853089E-3</v>
      </c>
      <c r="Y753" s="122">
        <f t="shared" si="708"/>
        <v>1</v>
      </c>
      <c r="Z753" s="123">
        <f t="shared" si="709"/>
        <v>0</v>
      </c>
      <c r="AA753" s="123">
        <f t="shared" si="710"/>
        <v>0</v>
      </c>
      <c r="AB753" s="124">
        <f t="shared" si="711"/>
        <v>2.5724130228402301E-3</v>
      </c>
    </row>
    <row r="754" spans="2:28" ht="15" thickBot="1" x14ac:dyDescent="0.35">
      <c r="B754" s="5" t="s">
        <v>11</v>
      </c>
      <c r="C754" s="9">
        <v>261</v>
      </c>
      <c r="D754" s="15">
        <v>0.52400000000000002</v>
      </c>
      <c r="E754" s="9">
        <v>255</v>
      </c>
      <c r="F754" s="9">
        <v>3</v>
      </c>
      <c r="G754" s="9">
        <v>11775</v>
      </c>
      <c r="H754" s="119">
        <f t="shared" si="696"/>
        <v>3</v>
      </c>
      <c r="I754" s="117"/>
      <c r="J754" s="117"/>
      <c r="K754" s="115">
        <f t="shared" si="694"/>
        <v>22471.374045801527</v>
      </c>
      <c r="L754" s="22">
        <f t="shared" si="695"/>
        <v>498.09160305343511</v>
      </c>
      <c r="M754" s="31">
        <f>(H754-H740)/H740</f>
        <v>0.5</v>
      </c>
      <c r="N754" s="32">
        <f t="shared" si="698"/>
        <v>1.1627906976744186E-2</v>
      </c>
      <c r="O754" s="44">
        <f t="shared" si="699"/>
        <v>5.7251908396946565</v>
      </c>
      <c r="P754" s="50">
        <f t="shared" si="700"/>
        <v>1.1494252873563218E-2</v>
      </c>
      <c r="Q754" s="48">
        <f t="shared" si="701"/>
        <v>5.7251908396946565</v>
      </c>
      <c r="R754" s="67">
        <f>G754/H754</f>
        <v>3925</v>
      </c>
      <c r="S754" s="92">
        <f t="shared" si="703"/>
        <v>1.9083969465648853</v>
      </c>
      <c r="T754" s="93">
        <f t="shared" si="704"/>
        <v>0</v>
      </c>
      <c r="V754" s="99" t="str">
        <f t="shared" si="705"/>
        <v>NFLD</v>
      </c>
      <c r="W754" s="120">
        <f t="shared" si="706"/>
        <v>200.31517557251911</v>
      </c>
      <c r="X754" s="103">
        <f t="shared" si="707"/>
        <v>1.2623532185933052E-2</v>
      </c>
      <c r="Y754" s="122">
        <f t="shared" si="708"/>
        <v>0.9885057471264368</v>
      </c>
      <c r="Z754" s="123">
        <f t="shared" si="709"/>
        <v>1.1627906976744186E-2</v>
      </c>
      <c r="AA754" s="123">
        <f t="shared" si="710"/>
        <v>1.1494252873563218E-2</v>
      </c>
      <c r="AB754" s="124">
        <f t="shared" si="711"/>
        <v>8.9654744105807944E-3</v>
      </c>
    </row>
    <row r="755" spans="2:28" ht="15" thickBot="1" x14ac:dyDescent="0.35">
      <c r="B755" s="11" t="s">
        <v>10</v>
      </c>
      <c r="C755" s="12">
        <v>88512</v>
      </c>
      <c r="D755" s="16">
        <v>37.6</v>
      </c>
      <c r="E755" s="12">
        <v>46840</v>
      </c>
      <c r="F755" s="12">
        <v>6877</v>
      </c>
      <c r="G755" s="12">
        <f>SUM(G745:G754)</f>
        <v>1606018</v>
      </c>
      <c r="H755" s="81">
        <f t="shared" si="696"/>
        <v>34795</v>
      </c>
      <c r="I755" s="117"/>
      <c r="J755" s="117"/>
      <c r="K755" s="77">
        <f t="shared" si="694"/>
        <v>42713.244680851065</v>
      </c>
      <c r="L755" s="23">
        <f t="shared" si="695"/>
        <v>2354.0425531914893</v>
      </c>
      <c r="M755" s="31">
        <f>(H755-H741)/H741</f>
        <v>5.9265683723619548E-3</v>
      </c>
      <c r="N755" s="33">
        <f t="shared" si="698"/>
        <v>0.12802278608261816</v>
      </c>
      <c r="O755" s="45">
        <f>F755/D755</f>
        <v>182.89893617021275</v>
      </c>
      <c r="P755" s="53">
        <f t="shared" si="700"/>
        <v>7.7695679681851051E-2</v>
      </c>
      <c r="Q755" s="55">
        <f t="shared" si="701"/>
        <v>925.39893617021278</v>
      </c>
      <c r="R755" s="74">
        <f>G755/H755</f>
        <v>46.156574220433967</v>
      </c>
      <c r="S755" s="92">
        <f t="shared" si="703"/>
        <v>26.409574468085104</v>
      </c>
      <c r="T755" s="93">
        <f t="shared" si="704"/>
        <v>2.978723404255319</v>
      </c>
      <c r="V755" s="108" t="str">
        <f t="shared" si="705"/>
        <v>Canada</v>
      </c>
      <c r="W755" s="109">
        <f t="shared" si="706"/>
        <v>13.992833451272062</v>
      </c>
      <c r="X755" s="103">
        <f t="shared" si="707"/>
        <v>3.138723404255319E-2</v>
      </c>
      <c r="Y755" s="122">
        <f t="shared" si="708"/>
        <v>0.60688946131597976</v>
      </c>
      <c r="Z755" s="123">
        <f t="shared" si="709"/>
        <v>0.12802278608261816</v>
      </c>
      <c r="AA755" s="123">
        <f t="shared" si="710"/>
        <v>7.7695679681851051E-2</v>
      </c>
      <c r="AB755" s="124">
        <f t="shared" si="711"/>
        <v>1.7739716312056737E-2</v>
      </c>
    </row>
    <row r="756" spans="2:28" ht="15" thickBot="1" x14ac:dyDescent="0.35">
      <c r="B756" s="6" t="s">
        <v>9</v>
      </c>
      <c r="C756" s="7">
        <v>1760816</v>
      </c>
      <c r="D756" s="7">
        <v>327</v>
      </c>
      <c r="E756" s="7">
        <v>494724</v>
      </c>
      <c r="F756" s="7">
        <v>102989</v>
      </c>
      <c r="G756" s="7">
        <v>16215579</v>
      </c>
      <c r="H756" s="82">
        <f t="shared" si="696"/>
        <v>1163103</v>
      </c>
      <c r="I756" s="117"/>
      <c r="J756" s="117"/>
      <c r="K756" s="78">
        <f t="shared" si="694"/>
        <v>49588.926605504588</v>
      </c>
      <c r="L756" s="24">
        <f t="shared" si="695"/>
        <v>5384.7584097859326</v>
      </c>
      <c r="M756" s="31">
        <f>(H756-H742)/H742</f>
        <v>7.3792875869469754E-3</v>
      </c>
      <c r="N756" s="33">
        <f t="shared" si="698"/>
        <v>0.17230510295074727</v>
      </c>
      <c r="O756" s="46">
        <f>F756/D756</f>
        <v>314.95107033639141</v>
      </c>
      <c r="P756" s="52">
        <f t="shared" si="700"/>
        <v>5.8489359478787105E-2</v>
      </c>
      <c r="Q756" s="54">
        <f t="shared" si="701"/>
        <v>3556.8899082568805</v>
      </c>
      <c r="R756" s="72">
        <f>G756/H756</f>
        <v>13.941653490705466</v>
      </c>
      <c r="S756" s="92">
        <f t="shared" si="703"/>
        <v>65.519877675840974</v>
      </c>
      <c r="T756" s="93">
        <f t="shared" si="704"/>
        <v>3.8929663608562692</v>
      </c>
      <c r="V756" s="108" t="str">
        <f t="shared" si="705"/>
        <v>USA</v>
      </c>
      <c r="W756" s="109">
        <f t="shared" si="706"/>
        <v>30.62102983002859</v>
      </c>
      <c r="X756" s="103">
        <f t="shared" si="707"/>
        <v>6.1841898786311154E-2</v>
      </c>
      <c r="Y756" s="122">
        <f t="shared" si="708"/>
        <v>0.33945227667172495</v>
      </c>
      <c r="Z756" s="123">
        <f t="shared" si="709"/>
        <v>0.17230510295074727</v>
      </c>
      <c r="AA756" s="123">
        <f t="shared" si="710"/>
        <v>5.8489359478787105E-2</v>
      </c>
      <c r="AB756" s="124">
        <f t="shared" si="711"/>
        <v>4.7963135621751085E-2</v>
      </c>
    </row>
    <row r="757" spans="2:28" ht="15" thickBot="1" x14ac:dyDescent="0.35"/>
    <row r="758" spans="2:28" ht="43.8" thickBot="1" x14ac:dyDescent="0.35">
      <c r="B758" s="96">
        <v>47239</v>
      </c>
      <c r="C758" s="18" t="s">
        <v>8</v>
      </c>
      <c r="D758" s="19" t="s">
        <v>17</v>
      </c>
      <c r="E758" s="19" t="s">
        <v>15</v>
      </c>
      <c r="F758" s="19" t="s">
        <v>16</v>
      </c>
      <c r="G758" s="19" t="s">
        <v>14</v>
      </c>
      <c r="H758" s="20" t="s">
        <v>38</v>
      </c>
      <c r="I758" s="116"/>
      <c r="J758" s="116"/>
      <c r="K758" s="19" t="s">
        <v>21</v>
      </c>
      <c r="L758" s="19" t="s">
        <v>20</v>
      </c>
      <c r="M758" s="19" t="s">
        <v>40</v>
      </c>
      <c r="N758" s="19" t="s">
        <v>32</v>
      </c>
      <c r="O758" s="19" t="s">
        <v>22</v>
      </c>
      <c r="P758" s="51" t="s">
        <v>34</v>
      </c>
      <c r="Q758" s="20" t="s">
        <v>35</v>
      </c>
      <c r="R758" s="63" t="s">
        <v>39</v>
      </c>
      <c r="S758" s="91" t="s">
        <v>43</v>
      </c>
      <c r="T758" s="91" t="s">
        <v>44</v>
      </c>
      <c r="V758" s="104" t="s">
        <v>48</v>
      </c>
      <c r="W758" s="105" t="s">
        <v>49</v>
      </c>
      <c r="X758" s="106" t="s">
        <v>50</v>
      </c>
      <c r="Y758" s="61" t="s">
        <v>52</v>
      </c>
      <c r="Z758" s="61" t="s">
        <v>33</v>
      </c>
      <c r="AA758" s="61" t="s">
        <v>37</v>
      </c>
      <c r="AB758" s="61" t="s">
        <v>54</v>
      </c>
    </row>
    <row r="759" spans="2:28" x14ac:dyDescent="0.3">
      <c r="B759" s="3" t="s">
        <v>0</v>
      </c>
      <c r="C759" s="1">
        <v>27210</v>
      </c>
      <c r="D759" s="14">
        <v>14.45</v>
      </c>
      <c r="E759" s="1">
        <v>20983</v>
      </c>
      <c r="F759" s="1">
        <v>2230</v>
      </c>
      <c r="G759" s="1">
        <v>680687</v>
      </c>
      <c r="H759" s="118">
        <f>C759-E759-F759</f>
        <v>3997</v>
      </c>
      <c r="I759" s="117"/>
      <c r="J759" s="117"/>
      <c r="K759" s="114">
        <f t="shared" ref="K759:K770" si="712">G759/D759</f>
        <v>47106.366782006924</v>
      </c>
      <c r="L759" s="21">
        <f t="shared" ref="L759:L770" si="713">C759/D759</f>
        <v>1883.044982698962</v>
      </c>
      <c r="M759" s="31">
        <f>(H759-H745)/H745</f>
        <v>-1.7482517482517483E-3</v>
      </c>
      <c r="N759" s="31">
        <f>F759/(E759+F759)</f>
        <v>9.6066859087580239E-2</v>
      </c>
      <c r="O759" s="43">
        <f>F759/D759</f>
        <v>154.32525951557093</v>
      </c>
      <c r="P759" s="49">
        <f>F759/C759</f>
        <v>8.1955163542815138E-2</v>
      </c>
      <c r="Q759" s="47">
        <f>(C759-E759-F759)/D759</f>
        <v>276.60899653979243</v>
      </c>
      <c r="R759" s="66">
        <f>G759/H759</f>
        <v>170.29947460595446</v>
      </c>
      <c r="S759" s="92">
        <f>(C759-C745)/D759</f>
        <v>23.806228373702425</v>
      </c>
      <c r="T759" s="93">
        <f>(F759-F745)/D759</f>
        <v>2.8373702422145328</v>
      </c>
      <c r="V759" s="101" t="str">
        <f>B759</f>
        <v>ON</v>
      </c>
      <c r="W759" s="102">
        <f>L759/180+IFERROR((D759*C759*13)/(F759*F759),500)</f>
        <v>11.489211665520084</v>
      </c>
      <c r="X759" s="103">
        <f>L759/75000*K$769/K759</f>
        <v>2.3624922383640633E-2</v>
      </c>
      <c r="Y759" s="122">
        <f>(E759+F759)/C759</f>
        <v>0.8531054759279677</v>
      </c>
      <c r="Z759" s="123">
        <f>N759</f>
        <v>9.6066859087580239E-2</v>
      </c>
      <c r="AA759" s="123">
        <f>P759</f>
        <v>8.1955163542815138E-2</v>
      </c>
      <c r="AB759" s="124">
        <f>X395</f>
        <v>1.7075940813805087E-2</v>
      </c>
    </row>
    <row r="760" spans="2:28" x14ac:dyDescent="0.3">
      <c r="B760" s="5" t="s">
        <v>1</v>
      </c>
      <c r="C760" s="1">
        <v>50232</v>
      </c>
      <c r="D760" s="14">
        <v>8.43</v>
      </c>
      <c r="E760" s="1">
        <v>15908</v>
      </c>
      <c r="F760" s="1">
        <v>4363</v>
      </c>
      <c r="G760" s="1">
        <f>390632+14753+13849</f>
        <v>419234</v>
      </c>
      <c r="H760" s="118">
        <f t="shared" ref="H760:H770" si="714">C760-E760-F760</f>
        <v>29961</v>
      </c>
      <c r="I760" s="117"/>
      <c r="J760" s="117"/>
      <c r="K760" s="114">
        <f t="shared" si="712"/>
        <v>49731.198102016606</v>
      </c>
      <c r="L760" s="21">
        <f t="shared" si="713"/>
        <v>5958.7188612099644</v>
      </c>
      <c r="M760" s="31">
        <f t="shared" ref="M760:M766" si="715">(H760-H746)/H746</f>
        <v>6.010341817205023E-3</v>
      </c>
      <c r="N760" s="31">
        <f t="shared" ref="N760:N770" si="716">F760/(E760+F760)</f>
        <v>0.21523358492427605</v>
      </c>
      <c r="O760" s="43">
        <f t="shared" ref="O760:O768" si="717">F760/D760</f>
        <v>517.55634638196921</v>
      </c>
      <c r="P760" s="49">
        <f t="shared" ref="P760:P770" si="718">F760/C760</f>
        <v>8.6856983596114032E-2</v>
      </c>
      <c r="Q760" s="47">
        <f t="shared" ref="Q760:Q770" si="719">(C760-E760-F760)/D760</f>
        <v>3554.0925266903914</v>
      </c>
      <c r="R760" s="66">
        <f t="shared" ref="R760:R765" si="720">G760/H760</f>
        <v>13.992657120923868</v>
      </c>
      <c r="S760" s="92">
        <f t="shared" ref="S760:S770" si="721">(C760-C746)/D760</f>
        <v>62.870699881376041</v>
      </c>
      <c r="T760" s="93">
        <f t="shared" ref="T760:T770" si="722">(F760-F746)/D760</f>
        <v>7.2360616844602612</v>
      </c>
      <c r="V760" s="98" t="str">
        <f t="shared" ref="V760:V770" si="723">B760</f>
        <v>QC</v>
      </c>
      <c r="W760" s="102">
        <f t="shared" ref="W760:W770" si="724">L760/180+IFERROR((D760*C760*13)/(F760*F760),500)</f>
        <v>33.393182141687504</v>
      </c>
      <c r="X760" s="103">
        <f t="shared" ref="X760:X770" si="725">L760/75000*K$769/K760</f>
        <v>7.0813046387844733E-2</v>
      </c>
      <c r="Y760" s="122">
        <f t="shared" ref="Y760:Y770" si="726">(E760+F760)/C760</f>
        <v>0.40354753941710464</v>
      </c>
      <c r="Z760" s="123">
        <f t="shared" ref="Z760:Z770" si="727">N760</f>
        <v>0.21523358492427605</v>
      </c>
      <c r="AA760" s="123">
        <f t="shared" ref="AA760:AA770" si="728">P760</f>
        <v>8.6856983596114032E-2</v>
      </c>
      <c r="AB760" s="124">
        <f t="shared" ref="AB760:AB770" si="729">X396</f>
        <v>3.6074311861562805E-2</v>
      </c>
    </row>
    <row r="761" spans="2:28" x14ac:dyDescent="0.3">
      <c r="B761" s="5" t="s">
        <v>2</v>
      </c>
      <c r="C761" s="1">
        <v>2562</v>
      </c>
      <c r="D761" s="14">
        <v>5.0199999999999996</v>
      </c>
      <c r="E761" s="1">
        <v>2170</v>
      </c>
      <c r="F761" s="1">
        <v>164</v>
      </c>
      <c r="G761" s="95">
        <v>140136</v>
      </c>
      <c r="H761" s="118">
        <f t="shared" si="714"/>
        <v>228</v>
      </c>
      <c r="I761" s="117"/>
      <c r="J761" s="117"/>
      <c r="K761" s="114">
        <f t="shared" si="712"/>
        <v>27915.537848605582</v>
      </c>
      <c r="L761" s="21">
        <f t="shared" si="713"/>
        <v>510.35856573705183</v>
      </c>
      <c r="M761" s="31">
        <f t="shared" si="715"/>
        <v>-5.3941908713692949E-2</v>
      </c>
      <c r="N761" s="31">
        <f t="shared" si="716"/>
        <v>7.0265638389031701E-2</v>
      </c>
      <c r="O761" s="43">
        <f t="shared" si="717"/>
        <v>32.669322709163346</v>
      </c>
      <c r="P761" s="49">
        <f t="shared" si="718"/>
        <v>6.401249024199844E-2</v>
      </c>
      <c r="Q761" s="47">
        <f t="shared" si="719"/>
        <v>45.418326693227094</v>
      </c>
      <c r="R761" s="66">
        <f t="shared" si="720"/>
        <v>614.63157894736844</v>
      </c>
      <c r="S761" s="92">
        <f t="shared" si="721"/>
        <v>0.79681274900398413</v>
      </c>
      <c r="T761" s="93">
        <f t="shared" si="722"/>
        <v>0</v>
      </c>
      <c r="V761" s="98" t="str">
        <f t="shared" si="723"/>
        <v>BC</v>
      </c>
      <c r="W761" s="102">
        <f t="shared" si="724"/>
        <v>9.0517188809702702</v>
      </c>
      <c r="X761" s="103">
        <f t="shared" si="725"/>
        <v>1.0804849286225295E-2</v>
      </c>
      <c r="Y761" s="122">
        <f t="shared" si="726"/>
        <v>0.91100702576112413</v>
      </c>
      <c r="Z761" s="123">
        <f t="shared" si="727"/>
        <v>7.0265638389031701E-2</v>
      </c>
      <c r="AA761" s="123">
        <f t="shared" si="728"/>
        <v>6.401249024199844E-2</v>
      </c>
      <c r="AB761" s="124">
        <f t="shared" si="729"/>
        <v>7.1864989405271218E-3</v>
      </c>
    </row>
    <row r="762" spans="2:28" x14ac:dyDescent="0.3">
      <c r="B762" s="5" t="s">
        <v>3</v>
      </c>
      <c r="C762" s="1">
        <v>6979</v>
      </c>
      <c r="D762" s="14">
        <v>4.34</v>
      </c>
      <c r="E762" s="1">
        <v>6218</v>
      </c>
      <c r="F762" s="1">
        <v>143</v>
      </c>
      <c r="G762" s="1">
        <v>253459</v>
      </c>
      <c r="H762" s="118">
        <f t="shared" si="714"/>
        <v>618</v>
      </c>
      <c r="I762" s="117"/>
      <c r="J762" s="117"/>
      <c r="K762" s="114">
        <f t="shared" si="712"/>
        <v>58400.691244239635</v>
      </c>
      <c r="L762" s="21">
        <f t="shared" si="713"/>
        <v>1608.0645161290322</v>
      </c>
      <c r="M762" s="31">
        <f t="shared" si="715"/>
        <v>-5.2147239263803678E-2</v>
      </c>
      <c r="N762" s="31">
        <f t="shared" si="716"/>
        <v>2.2480742021694703E-2</v>
      </c>
      <c r="O762" s="43">
        <f t="shared" si="717"/>
        <v>32.94930875576037</v>
      </c>
      <c r="P762" s="49">
        <f t="shared" si="718"/>
        <v>2.0490041553231121E-2</v>
      </c>
      <c r="Q762" s="47">
        <f t="shared" si="719"/>
        <v>142.39631336405532</v>
      </c>
      <c r="R762" s="66">
        <f t="shared" si="720"/>
        <v>410.12783171521033</v>
      </c>
      <c r="S762" s="92">
        <f t="shared" si="721"/>
        <v>5.5299539170506913</v>
      </c>
      <c r="T762" s="93">
        <f t="shared" si="722"/>
        <v>0</v>
      </c>
      <c r="V762" s="98" t="str">
        <f t="shared" si="723"/>
        <v>AL</v>
      </c>
      <c r="W762" s="102">
        <f t="shared" si="724"/>
        <v>28.189165373564201</v>
      </c>
      <c r="X762" s="103">
        <f t="shared" si="725"/>
        <v>1.6273268354088294E-2</v>
      </c>
      <c r="Y762" s="122">
        <f t="shared" si="726"/>
        <v>0.91144863160911305</v>
      </c>
      <c r="Z762" s="123">
        <f t="shared" si="727"/>
        <v>2.2480742021694703E-2</v>
      </c>
      <c r="AA762" s="123">
        <f t="shared" si="728"/>
        <v>2.0490041553231121E-2</v>
      </c>
      <c r="AB762" s="124">
        <f t="shared" si="729"/>
        <v>1.0312000337047758E-2</v>
      </c>
    </row>
    <row r="763" spans="2:28" x14ac:dyDescent="0.3">
      <c r="B763" s="5" t="s">
        <v>4</v>
      </c>
      <c r="C763" s="1">
        <v>294</v>
      </c>
      <c r="D763" s="14">
        <v>1.36</v>
      </c>
      <c r="E763" s="1">
        <v>273</v>
      </c>
      <c r="F763" s="1">
        <v>7</v>
      </c>
      <c r="G763" s="1">
        <v>42306</v>
      </c>
      <c r="H763" s="118">
        <f t="shared" si="714"/>
        <v>14</v>
      </c>
      <c r="I763" s="117"/>
      <c r="J763" s="117"/>
      <c r="K763" s="114">
        <f t="shared" si="712"/>
        <v>31107.352941176468</v>
      </c>
      <c r="L763" s="21">
        <f t="shared" si="713"/>
        <v>216.17647058823528</v>
      </c>
      <c r="M763" s="31">
        <f t="shared" si="715"/>
        <v>0</v>
      </c>
      <c r="N763" s="31">
        <f t="shared" si="716"/>
        <v>2.5000000000000001E-2</v>
      </c>
      <c r="O763" s="43">
        <f t="shared" si="717"/>
        <v>5.1470588235294112</v>
      </c>
      <c r="P763" s="49">
        <f t="shared" si="718"/>
        <v>2.3809523809523808E-2</v>
      </c>
      <c r="Q763" s="47">
        <f t="shared" si="719"/>
        <v>10.294117647058822</v>
      </c>
      <c r="R763" s="66">
        <f t="shared" si="720"/>
        <v>3021.8571428571427</v>
      </c>
      <c r="S763" s="92">
        <f t="shared" si="721"/>
        <v>0</v>
      </c>
      <c r="T763" s="93">
        <f t="shared" si="722"/>
        <v>0</v>
      </c>
      <c r="V763" s="98" t="str">
        <f t="shared" si="723"/>
        <v>MA</v>
      </c>
      <c r="W763" s="102">
        <f t="shared" si="724"/>
        <v>107.28098039215686</v>
      </c>
      <c r="X763" s="103">
        <f t="shared" si="725"/>
        <v>4.1070942605595908E-3</v>
      </c>
      <c r="Y763" s="122">
        <f t="shared" si="726"/>
        <v>0.95238095238095233</v>
      </c>
      <c r="Z763" s="123">
        <f t="shared" si="727"/>
        <v>2.5000000000000001E-2</v>
      </c>
      <c r="AA763" s="123">
        <f t="shared" si="728"/>
        <v>2.3809523809523808E-2</v>
      </c>
      <c r="AB763" s="124">
        <f t="shared" si="729"/>
        <v>3.215583455394523E-3</v>
      </c>
    </row>
    <row r="764" spans="2:28" x14ac:dyDescent="0.3">
      <c r="B764" s="5" t="s">
        <v>5</v>
      </c>
      <c r="C764" s="1">
        <v>641</v>
      </c>
      <c r="D764" s="14">
        <v>1.17</v>
      </c>
      <c r="E764" s="1">
        <v>570</v>
      </c>
      <c r="F764" s="1">
        <v>10</v>
      </c>
      <c r="G764" s="1">
        <v>46454</v>
      </c>
      <c r="H764" s="118">
        <f t="shared" si="714"/>
        <v>61</v>
      </c>
      <c r="I764" s="117"/>
      <c r="J764" s="117"/>
      <c r="K764" s="114">
        <f t="shared" si="712"/>
        <v>39704.273504273508</v>
      </c>
      <c r="L764" s="21">
        <f t="shared" si="713"/>
        <v>547.86324786324792</v>
      </c>
      <c r="M764" s="31">
        <f t="shared" si="715"/>
        <v>0</v>
      </c>
      <c r="N764" s="31">
        <f t="shared" si="716"/>
        <v>1.7241379310344827E-2</v>
      </c>
      <c r="O764" s="43">
        <f t="shared" si="717"/>
        <v>8.5470085470085468</v>
      </c>
      <c r="P764" s="49">
        <f t="shared" si="718"/>
        <v>1.5600624024960999E-2</v>
      </c>
      <c r="Q764" s="47">
        <f t="shared" si="719"/>
        <v>52.136752136752143</v>
      </c>
      <c r="R764" s="66">
        <f t="shared" si="720"/>
        <v>761.54098360655735</v>
      </c>
      <c r="S764" s="92">
        <f t="shared" si="721"/>
        <v>1.7094017094017095</v>
      </c>
      <c r="T764" s="93">
        <f t="shared" si="722"/>
        <v>0</v>
      </c>
      <c r="V764" s="98" t="str">
        <f t="shared" si="723"/>
        <v>SA</v>
      </c>
      <c r="W764" s="102">
        <f t="shared" si="724"/>
        <v>100.53978471035136</v>
      </c>
      <c r="X764" s="103">
        <f t="shared" si="725"/>
        <v>8.1550047602951675E-3</v>
      </c>
      <c r="Y764" s="122">
        <f t="shared" si="726"/>
        <v>0.90483619344773791</v>
      </c>
      <c r="Z764" s="123">
        <f t="shared" si="727"/>
        <v>1.7241379310344827E-2</v>
      </c>
      <c r="AA764" s="123">
        <f t="shared" si="728"/>
        <v>1.5600624024960999E-2</v>
      </c>
      <c r="AB764" s="124">
        <f t="shared" si="729"/>
        <v>3.7801356182561858E-3</v>
      </c>
    </row>
    <row r="765" spans="2:28" x14ac:dyDescent="0.3">
      <c r="B765" s="5" t="s">
        <v>6</v>
      </c>
      <c r="C765" s="1">
        <v>1055</v>
      </c>
      <c r="D765" s="14">
        <v>0.96499999999999997</v>
      </c>
      <c r="E765" s="1">
        <v>978</v>
      </c>
      <c r="F765" s="1">
        <v>59</v>
      </c>
      <c r="G765" s="1">
        <f>40914+C765</f>
        <v>41969</v>
      </c>
      <c r="H765" s="118">
        <f t="shared" si="714"/>
        <v>18</v>
      </c>
      <c r="I765" s="117"/>
      <c r="J765" s="117"/>
      <c r="K765" s="114">
        <f t="shared" si="712"/>
        <v>43491.191709844563</v>
      </c>
      <c r="L765" s="21">
        <f t="shared" si="713"/>
        <v>1093.2642487046633</v>
      </c>
      <c r="M765" s="31">
        <f t="shared" si="715"/>
        <v>-5.2631578947368418E-2</v>
      </c>
      <c r="N765" s="31">
        <f t="shared" si="716"/>
        <v>5.6894889103182258E-2</v>
      </c>
      <c r="O765" s="43">
        <f t="shared" si="717"/>
        <v>61.139896373056999</v>
      </c>
      <c r="P765" s="49">
        <f t="shared" si="718"/>
        <v>5.5924170616113746E-2</v>
      </c>
      <c r="Q765" s="47">
        <f t="shared" si="719"/>
        <v>18.652849740932645</v>
      </c>
      <c r="R765" s="66">
        <f t="shared" si="720"/>
        <v>2331.6111111111113</v>
      </c>
      <c r="S765" s="92">
        <f t="shared" si="721"/>
        <v>0</v>
      </c>
      <c r="T765" s="93">
        <f t="shared" si="722"/>
        <v>0</v>
      </c>
      <c r="V765" s="98" t="str">
        <f t="shared" si="723"/>
        <v>NS</v>
      </c>
      <c r="W765" s="102">
        <f t="shared" si="724"/>
        <v>9.875751459894877</v>
      </c>
      <c r="X765" s="103">
        <f t="shared" si="725"/>
        <v>1.4856384922069293E-2</v>
      </c>
      <c r="Y765" s="122">
        <f t="shared" si="726"/>
        <v>0.98293838862559246</v>
      </c>
      <c r="Z765" s="123">
        <f t="shared" si="727"/>
        <v>5.6894889103182258E-2</v>
      </c>
      <c r="AA765" s="123">
        <f t="shared" si="728"/>
        <v>5.5924170616113746E-2</v>
      </c>
      <c r="AB765" s="124">
        <f t="shared" si="729"/>
        <v>9.4506871854070553E-3</v>
      </c>
    </row>
    <row r="766" spans="2:28" x14ac:dyDescent="0.3">
      <c r="B766" s="5" t="s">
        <v>7</v>
      </c>
      <c r="C766" s="1">
        <v>128</v>
      </c>
      <c r="D766" s="14">
        <v>0.77200000000000002</v>
      </c>
      <c r="E766" s="1">
        <v>120</v>
      </c>
      <c r="F766" s="1">
        <v>0</v>
      </c>
      <c r="G766" s="1">
        <v>24169</v>
      </c>
      <c r="H766" s="118">
        <f t="shared" si="714"/>
        <v>8</v>
      </c>
      <c r="I766" s="117"/>
      <c r="J766" s="117"/>
      <c r="K766" s="114">
        <f t="shared" si="712"/>
        <v>31306.994818652849</v>
      </c>
      <c r="L766" s="21">
        <f t="shared" si="713"/>
        <v>165.80310880829015</v>
      </c>
      <c r="M766" s="31">
        <f t="shared" si="715"/>
        <v>0.33333333333333331</v>
      </c>
      <c r="N766" s="31">
        <f t="shared" si="716"/>
        <v>0</v>
      </c>
      <c r="O766" s="43">
        <f t="shared" si="717"/>
        <v>0</v>
      </c>
      <c r="P766" s="49">
        <f t="shared" si="718"/>
        <v>0</v>
      </c>
      <c r="Q766" s="47">
        <f t="shared" si="719"/>
        <v>10.362694300518134</v>
      </c>
      <c r="R766" s="66">
        <f>IFERROR(G766/H766,20000)</f>
        <v>3021.125</v>
      </c>
      <c r="S766" s="92">
        <f t="shared" si="721"/>
        <v>2.5906735751295336</v>
      </c>
      <c r="T766" s="93">
        <f t="shared" si="722"/>
        <v>0</v>
      </c>
      <c r="V766" s="98" t="str">
        <f t="shared" si="723"/>
        <v>NB</v>
      </c>
      <c r="W766" s="102">
        <f t="shared" si="724"/>
        <v>500.92112838226825</v>
      </c>
      <c r="X766" s="103">
        <f t="shared" si="725"/>
        <v>3.1299730121435079E-3</v>
      </c>
      <c r="Y766" s="122">
        <f t="shared" si="726"/>
        <v>0.9375</v>
      </c>
      <c r="Z766" s="123">
        <f t="shared" si="727"/>
        <v>0</v>
      </c>
      <c r="AA766" s="123">
        <f t="shared" si="728"/>
        <v>0</v>
      </c>
      <c r="AB766" s="124">
        <f t="shared" si="729"/>
        <v>2.4744818563657645E-3</v>
      </c>
    </row>
    <row r="767" spans="2:28" x14ac:dyDescent="0.3">
      <c r="B767" s="5" t="s">
        <v>18</v>
      </c>
      <c r="C767" s="9">
        <v>27</v>
      </c>
      <c r="D767" s="15">
        <v>0.154</v>
      </c>
      <c r="E767" s="9">
        <v>27</v>
      </c>
      <c r="F767" s="9">
        <v>0</v>
      </c>
      <c r="G767" s="9">
        <v>6306</v>
      </c>
      <c r="H767" s="118">
        <f t="shared" si="714"/>
        <v>0</v>
      </c>
      <c r="I767" s="117"/>
      <c r="J767" s="117"/>
      <c r="K767" s="115">
        <f t="shared" si="712"/>
        <v>40948.051948051951</v>
      </c>
      <c r="L767" s="22">
        <f t="shared" si="713"/>
        <v>175.32467532467533</v>
      </c>
      <c r="M767" s="31">
        <v>0</v>
      </c>
      <c r="N767" s="31">
        <f t="shared" si="716"/>
        <v>0</v>
      </c>
      <c r="O767" s="44">
        <f t="shared" si="717"/>
        <v>0</v>
      </c>
      <c r="P767" s="49">
        <f t="shared" si="718"/>
        <v>0</v>
      </c>
      <c r="Q767" s="47">
        <f t="shared" si="719"/>
        <v>0</v>
      </c>
      <c r="R767" s="66">
        <f>IFERROR(G767/H767,20000)</f>
        <v>20000</v>
      </c>
      <c r="S767" s="92">
        <f t="shared" si="721"/>
        <v>0</v>
      </c>
      <c r="T767" s="93">
        <f t="shared" si="722"/>
        <v>0</v>
      </c>
      <c r="V767" s="98" t="str">
        <f t="shared" si="723"/>
        <v>PEI</v>
      </c>
      <c r="W767" s="102">
        <f t="shared" si="724"/>
        <v>500.97402597402595</v>
      </c>
      <c r="X767" s="103">
        <f t="shared" si="725"/>
        <v>2.5304578213251818E-3</v>
      </c>
      <c r="Y767" s="122">
        <f t="shared" si="726"/>
        <v>1</v>
      </c>
      <c r="Z767" s="123">
        <f t="shared" si="727"/>
        <v>0</v>
      </c>
      <c r="AA767" s="123">
        <f t="shared" si="728"/>
        <v>0</v>
      </c>
      <c r="AB767" s="124">
        <f t="shared" si="729"/>
        <v>2.719602145564143E-3</v>
      </c>
    </row>
    <row r="768" spans="2:28" ht="15" thickBot="1" x14ac:dyDescent="0.35">
      <c r="B768" s="5" t="s">
        <v>11</v>
      </c>
      <c r="C768" s="9">
        <v>261</v>
      </c>
      <c r="D768" s="15">
        <v>0.52400000000000002</v>
      </c>
      <c r="E768" s="9">
        <v>255</v>
      </c>
      <c r="F768" s="9">
        <v>3</v>
      </c>
      <c r="G768" s="9">
        <v>11907</v>
      </c>
      <c r="H768" s="119">
        <f t="shared" si="714"/>
        <v>3</v>
      </c>
      <c r="I768" s="117"/>
      <c r="J768" s="117"/>
      <c r="K768" s="115">
        <f t="shared" si="712"/>
        <v>22723.282442748092</v>
      </c>
      <c r="L768" s="22">
        <f t="shared" si="713"/>
        <v>498.09160305343511</v>
      </c>
      <c r="M768" s="31">
        <f>(H768-H754)/H754</f>
        <v>0</v>
      </c>
      <c r="N768" s="32">
        <f t="shared" si="716"/>
        <v>1.1627906976744186E-2</v>
      </c>
      <c r="O768" s="44">
        <f t="shared" si="717"/>
        <v>5.7251908396946565</v>
      </c>
      <c r="P768" s="50">
        <f t="shared" si="718"/>
        <v>1.1494252873563218E-2</v>
      </c>
      <c r="Q768" s="48">
        <f t="shared" si="719"/>
        <v>5.7251908396946565</v>
      </c>
      <c r="R768" s="67">
        <f>G768/H768</f>
        <v>3969</v>
      </c>
      <c r="S768" s="92">
        <f t="shared" si="721"/>
        <v>0</v>
      </c>
      <c r="T768" s="93">
        <f t="shared" si="722"/>
        <v>0</v>
      </c>
      <c r="V768" s="99" t="str">
        <f t="shared" si="723"/>
        <v>NFLD</v>
      </c>
      <c r="W768" s="120">
        <f t="shared" si="724"/>
        <v>200.31517557251911</v>
      </c>
      <c r="X768" s="103">
        <f t="shared" si="725"/>
        <v>1.2954702937124416E-2</v>
      </c>
      <c r="Y768" s="122">
        <f t="shared" si="726"/>
        <v>0.9885057471264368</v>
      </c>
      <c r="Z768" s="123">
        <f t="shared" si="727"/>
        <v>1.1627906976744186E-2</v>
      </c>
      <c r="AA768" s="123">
        <f t="shared" si="728"/>
        <v>1.1494252873563218E-2</v>
      </c>
      <c r="AB768" s="124">
        <f t="shared" si="729"/>
        <v>9.3168832662449685E-3</v>
      </c>
    </row>
    <row r="769" spans="2:28" ht="15" thickBot="1" x14ac:dyDescent="0.35">
      <c r="B769" s="11" t="s">
        <v>10</v>
      </c>
      <c r="C769" s="12">
        <v>89418</v>
      </c>
      <c r="D769" s="16">
        <v>37.6</v>
      </c>
      <c r="E769" s="12">
        <v>47518</v>
      </c>
      <c r="F769" s="12">
        <v>6979</v>
      </c>
      <c r="G769" s="12">
        <f>SUM(G759:G768)</f>
        <v>1666627</v>
      </c>
      <c r="H769" s="81">
        <f t="shared" si="714"/>
        <v>34921</v>
      </c>
      <c r="I769" s="117"/>
      <c r="J769" s="117"/>
      <c r="K769" s="77">
        <f t="shared" si="712"/>
        <v>44325.186170212764</v>
      </c>
      <c r="L769" s="23">
        <f t="shared" si="713"/>
        <v>2378.1382978723404</v>
      </c>
      <c r="M769" s="31">
        <f>(H769-H755)/H755</f>
        <v>3.6212099439574649E-3</v>
      </c>
      <c r="N769" s="33">
        <f t="shared" si="716"/>
        <v>0.12806209516120154</v>
      </c>
      <c r="O769" s="45">
        <f>F769/D769</f>
        <v>185.61170212765956</v>
      </c>
      <c r="P769" s="53">
        <f t="shared" si="718"/>
        <v>7.8049162361045879E-2</v>
      </c>
      <c r="Q769" s="55">
        <f t="shared" si="719"/>
        <v>928.75</v>
      </c>
      <c r="R769" s="74">
        <f>G769/H769</f>
        <v>47.725637868331376</v>
      </c>
      <c r="S769" s="92">
        <f t="shared" si="721"/>
        <v>24.095744680851062</v>
      </c>
      <c r="T769" s="93">
        <f t="shared" si="722"/>
        <v>2.7127659574468086</v>
      </c>
      <c r="V769" s="108" t="str">
        <f t="shared" si="723"/>
        <v>Canada</v>
      </c>
      <c r="W769" s="109">
        <f t="shared" si="724"/>
        <v>14.109245725513386</v>
      </c>
      <c r="X769" s="103">
        <f t="shared" si="725"/>
        <v>3.1708510638297875E-2</v>
      </c>
      <c r="Y769" s="122">
        <f t="shared" si="726"/>
        <v>0.60946341899841194</v>
      </c>
      <c r="Z769" s="123">
        <f t="shared" si="727"/>
        <v>0.12806209516120154</v>
      </c>
      <c r="AA769" s="123">
        <f t="shared" si="728"/>
        <v>7.8049162361045879E-2</v>
      </c>
      <c r="AB769" s="124">
        <f t="shared" si="729"/>
        <v>1.8296808510638297E-2</v>
      </c>
    </row>
    <row r="770" spans="2:28" ht="15" thickBot="1" x14ac:dyDescent="0.35">
      <c r="B770" s="6" t="s">
        <v>9</v>
      </c>
      <c r="C770" s="7">
        <v>1786116</v>
      </c>
      <c r="D770" s="7">
        <v>327</v>
      </c>
      <c r="E770" s="7">
        <v>502305</v>
      </c>
      <c r="F770" s="7">
        <v>104135</v>
      </c>
      <c r="G770" s="7">
        <v>16510778</v>
      </c>
      <c r="H770" s="82">
        <f t="shared" si="714"/>
        <v>1179676</v>
      </c>
      <c r="I770" s="117"/>
      <c r="J770" s="117"/>
      <c r="K770" s="78">
        <f t="shared" si="712"/>
        <v>50491.675840978591</v>
      </c>
      <c r="L770" s="24">
        <f t="shared" si="713"/>
        <v>5462.1284403669724</v>
      </c>
      <c r="M770" s="31">
        <f>(H770-H756)/H756</f>
        <v>1.4248953016198908E-2</v>
      </c>
      <c r="N770" s="33">
        <f t="shared" si="716"/>
        <v>0.17171525624958775</v>
      </c>
      <c r="O770" s="46">
        <f>F770/D770</f>
        <v>318.45565749235476</v>
      </c>
      <c r="P770" s="52">
        <f t="shared" si="718"/>
        <v>5.8302484273137917E-2</v>
      </c>
      <c r="Q770" s="54">
        <f t="shared" si="719"/>
        <v>3607.5718654434249</v>
      </c>
      <c r="R770" s="72">
        <f>G770/H770</f>
        <v>13.996027722866279</v>
      </c>
      <c r="S770" s="92">
        <f t="shared" si="721"/>
        <v>77.370030581039757</v>
      </c>
      <c r="T770" s="93">
        <f t="shared" si="722"/>
        <v>3.5045871559633026</v>
      </c>
      <c r="V770" s="108" t="str">
        <f t="shared" si="723"/>
        <v>USA</v>
      </c>
      <c r="W770" s="109">
        <f t="shared" si="724"/>
        <v>31.04533416777058</v>
      </c>
      <c r="X770" s="103">
        <f t="shared" si="725"/>
        <v>6.3933933920090044E-2</v>
      </c>
      <c r="Y770" s="122">
        <f t="shared" si="726"/>
        <v>0.33953001932685223</v>
      </c>
      <c r="Z770" s="123">
        <f t="shared" si="727"/>
        <v>0.17171525624958775</v>
      </c>
      <c r="AA770" s="123">
        <f t="shared" si="728"/>
        <v>5.8302484273137917E-2</v>
      </c>
      <c r="AB770" s="124">
        <f t="shared" si="729"/>
        <v>4.9884978491414725E-2</v>
      </c>
    </row>
    <row r="771" spans="2:28" ht="15" thickBot="1" x14ac:dyDescent="0.35">
      <c r="F771" s="125"/>
    </row>
    <row r="772" spans="2:28" ht="58.2" thickBot="1" x14ac:dyDescent="0.35">
      <c r="B772" s="96">
        <v>47604</v>
      </c>
      <c r="C772" s="18" t="s">
        <v>8</v>
      </c>
      <c r="D772" s="19" t="s">
        <v>17</v>
      </c>
      <c r="E772" s="19" t="s">
        <v>15</v>
      </c>
      <c r="F772" s="19" t="s">
        <v>16</v>
      </c>
      <c r="G772" s="19" t="s">
        <v>14</v>
      </c>
      <c r="H772" s="20" t="s">
        <v>38</v>
      </c>
      <c r="I772" s="116"/>
      <c r="J772" s="116"/>
      <c r="K772" s="19" t="s">
        <v>21</v>
      </c>
      <c r="L772" s="19" t="s">
        <v>20</v>
      </c>
      <c r="M772" s="19" t="s">
        <v>40</v>
      </c>
      <c r="N772" s="19" t="s">
        <v>32</v>
      </c>
      <c r="O772" s="19" t="s">
        <v>22</v>
      </c>
      <c r="P772" s="51" t="s">
        <v>34</v>
      </c>
      <c r="Q772" s="20" t="s">
        <v>35</v>
      </c>
      <c r="R772" s="63" t="s">
        <v>39</v>
      </c>
      <c r="S772" s="91" t="s">
        <v>43</v>
      </c>
      <c r="T772" s="91" t="s">
        <v>44</v>
      </c>
      <c r="V772" s="104" t="s">
        <v>48</v>
      </c>
      <c r="W772" s="105" t="s">
        <v>49</v>
      </c>
      <c r="X772" s="106" t="s">
        <v>50</v>
      </c>
      <c r="Y772" s="61" t="s">
        <v>52</v>
      </c>
      <c r="Z772" s="61" t="s">
        <v>55</v>
      </c>
      <c r="AA772" s="61" t="s">
        <v>56</v>
      </c>
      <c r="AB772" s="61" t="s">
        <v>54</v>
      </c>
    </row>
    <row r="773" spans="2:28" x14ac:dyDescent="0.3">
      <c r="B773" s="3" t="s">
        <v>0</v>
      </c>
      <c r="C773" s="1">
        <v>27533</v>
      </c>
      <c r="D773" s="14">
        <v>14.45</v>
      </c>
      <c r="E773" s="1">
        <v>21353</v>
      </c>
      <c r="F773" s="1">
        <v>2247</v>
      </c>
      <c r="G773" s="1">
        <v>701327</v>
      </c>
      <c r="H773" s="118">
        <f>C773-E773-F773</f>
        <v>3933</v>
      </c>
      <c r="I773" s="117"/>
      <c r="J773" s="117"/>
      <c r="K773" s="114">
        <f t="shared" ref="K773:K784" si="730">G773/D773</f>
        <v>48534.740484429065</v>
      </c>
      <c r="L773" s="21">
        <f t="shared" ref="L773:L784" si="731">C773/D773</f>
        <v>1905.3979238754325</v>
      </c>
      <c r="M773" s="31">
        <f>(H773-H759)/H759</f>
        <v>-1.6012009006755066E-2</v>
      </c>
      <c r="N773" s="31">
        <f>F773/(E773+F773)</f>
        <v>9.5211864406779659E-2</v>
      </c>
      <c r="O773" s="43">
        <f>F773/D773</f>
        <v>155.50173010380624</v>
      </c>
      <c r="P773" s="49">
        <f>F773/C773</f>
        <v>8.1611157520066827E-2</v>
      </c>
      <c r="Q773" s="47">
        <f>(C773-E773-F773)/D773</f>
        <v>272.17993079584778</v>
      </c>
      <c r="R773" s="66">
        <f>G773/H773</f>
        <v>178.31858632087466</v>
      </c>
      <c r="S773" s="92">
        <f>(C773-C759)/D773</f>
        <v>22.352941176470591</v>
      </c>
      <c r="T773" s="93">
        <f>(F773-F759)/D773</f>
        <v>1.1764705882352942</v>
      </c>
      <c r="V773" s="101" t="str">
        <f>B773</f>
        <v>ON</v>
      </c>
      <c r="W773" s="102">
        <f>L773/180+IFERROR((D773*C773*13)/(F773*F773),500)</f>
        <v>11.609918121477319</v>
      </c>
      <c r="X773" s="103">
        <f>L773/75000*K$783/K773</f>
        <v>2.3815711566422908E-2</v>
      </c>
      <c r="Y773" s="122">
        <f>(E773+F773)/C773</f>
        <v>0.85715323430065737</v>
      </c>
      <c r="Z773" s="123">
        <f>N773</f>
        <v>9.5211864406779659E-2</v>
      </c>
      <c r="AA773" s="123">
        <f>P773</f>
        <v>8.1611157520066827E-2</v>
      </c>
      <c r="AB773" s="124">
        <f>X409</f>
        <v>1.7241826814982299E-2</v>
      </c>
    </row>
    <row r="774" spans="2:28" x14ac:dyDescent="0.3">
      <c r="B774" s="5" t="s">
        <v>1</v>
      </c>
      <c r="C774" s="1">
        <v>50651</v>
      </c>
      <c r="D774" s="14">
        <v>8.43</v>
      </c>
      <c r="E774" s="1">
        <v>16070</v>
      </c>
      <c r="F774" s="1">
        <v>4439</v>
      </c>
      <c r="G774" s="1">
        <v>434940</v>
      </c>
      <c r="H774" s="118">
        <f t="shared" ref="H774:H784" si="732">C774-E774-F774</f>
        <v>30142</v>
      </c>
      <c r="I774" s="117"/>
      <c r="J774" s="117"/>
      <c r="K774" s="114">
        <f t="shared" si="730"/>
        <v>51594.306049822066</v>
      </c>
      <c r="L774" s="21">
        <f t="shared" si="731"/>
        <v>6008.422301304864</v>
      </c>
      <c r="M774" s="31">
        <f t="shared" ref="M774:M780" si="733">(H774-H760)/H760</f>
        <v>6.0411868762724873E-3</v>
      </c>
      <c r="N774" s="31">
        <f t="shared" ref="N774:N784" si="734">F774/(E774+F774)</f>
        <v>0.21644156224096739</v>
      </c>
      <c r="O774" s="43">
        <f t="shared" ref="O774:O782" si="735">F774/D774</f>
        <v>526.57176749703444</v>
      </c>
      <c r="P774" s="49">
        <f t="shared" ref="P774:P784" si="736">F774/C774</f>
        <v>8.7638940988331915E-2</v>
      </c>
      <c r="Q774" s="47">
        <f t="shared" ref="Q774:Q784" si="737">(C774-E774-F774)/D774</f>
        <v>3575.5634638196916</v>
      </c>
      <c r="R774" s="66">
        <f t="shared" ref="R774:R779" si="738">G774/H774</f>
        <v>14.4296994227324</v>
      </c>
      <c r="S774" s="92">
        <f t="shared" ref="S774:S784" si="739">(C774-C760)/D774</f>
        <v>49.703440094899172</v>
      </c>
      <c r="T774" s="93">
        <f t="shared" ref="T774:T784" si="740">(F774-F760)/D774</f>
        <v>9.0154211150652444</v>
      </c>
      <c r="V774" s="98" t="str">
        <f t="shared" ref="V774:V784" si="741">B774</f>
        <v>QC</v>
      </c>
      <c r="W774" s="102">
        <f t="shared" ref="W774:W784" si="742">L774/180+IFERROR((D774*C774*13)/(F774*F774),500)</f>
        <v>33.661825072724184</v>
      </c>
      <c r="X774" s="103">
        <f t="shared" ref="X774:X784" si="743">L774/75000*K$783/K774</f>
        <v>7.0646273760919823E-2</v>
      </c>
      <c r="Y774" s="122">
        <f t="shared" ref="Y774:Y784" si="744">(E774+F774)/C774</f>
        <v>0.40490809658249588</v>
      </c>
      <c r="Z774" s="123">
        <f t="shared" ref="Z774:Z784" si="745">N774</f>
        <v>0.21644156224096739</v>
      </c>
      <c r="AA774" s="123">
        <f t="shared" ref="AA774:AA784" si="746">P774</f>
        <v>8.7638940988331915E-2</v>
      </c>
      <c r="AB774" s="124">
        <f t="shared" ref="AB774:AB784" si="747">X410</f>
        <v>3.7848855710821298E-2</v>
      </c>
    </row>
    <row r="775" spans="2:28" x14ac:dyDescent="0.3">
      <c r="B775" s="5" t="s">
        <v>2</v>
      </c>
      <c r="C775" s="1">
        <v>2573</v>
      </c>
      <c r="D775" s="14">
        <v>5.0199999999999996</v>
      </c>
      <c r="E775" s="1">
        <v>2181</v>
      </c>
      <c r="F775" s="1">
        <v>164</v>
      </c>
      <c r="G775" s="95">
        <v>141392</v>
      </c>
      <c r="H775" s="118">
        <f t="shared" si="732"/>
        <v>228</v>
      </c>
      <c r="I775" s="117"/>
      <c r="J775" s="117"/>
      <c r="K775" s="114">
        <f t="shared" si="730"/>
        <v>28165.737051792832</v>
      </c>
      <c r="L775" s="21">
        <f t="shared" si="731"/>
        <v>512.54980079681275</v>
      </c>
      <c r="M775" s="31">
        <f t="shared" si="733"/>
        <v>0</v>
      </c>
      <c r="N775" s="31">
        <f t="shared" si="734"/>
        <v>6.9936034115138587E-2</v>
      </c>
      <c r="O775" s="43">
        <f t="shared" si="735"/>
        <v>32.669322709163346</v>
      </c>
      <c r="P775" s="49">
        <f t="shared" si="736"/>
        <v>6.3738826272833268E-2</v>
      </c>
      <c r="Q775" s="47">
        <f t="shared" si="737"/>
        <v>45.418326693227094</v>
      </c>
      <c r="R775" s="66">
        <f t="shared" si="738"/>
        <v>620.14035087719299</v>
      </c>
      <c r="S775" s="92">
        <f t="shared" si="739"/>
        <v>2.1912350597609564</v>
      </c>
      <c r="T775" s="93">
        <f t="shared" si="740"/>
        <v>0</v>
      </c>
      <c r="V775" s="98" t="str">
        <f t="shared" si="741"/>
        <v>BC</v>
      </c>
      <c r="W775" s="102">
        <f t="shared" si="742"/>
        <v>9.0905826232382907</v>
      </c>
      <c r="X775" s="103">
        <f t="shared" si="743"/>
        <v>1.1039401646907705E-2</v>
      </c>
      <c r="Y775" s="122">
        <f t="shared" si="744"/>
        <v>0.91138748542557324</v>
      </c>
      <c r="Z775" s="123">
        <f t="shared" si="745"/>
        <v>6.9936034115138587E-2</v>
      </c>
      <c r="AA775" s="123">
        <f t="shared" si="746"/>
        <v>6.3738826272833268E-2</v>
      </c>
      <c r="AB775" s="124">
        <f t="shared" si="747"/>
        <v>7.483625169760073E-3</v>
      </c>
    </row>
    <row r="776" spans="2:28" x14ac:dyDescent="0.3">
      <c r="B776" s="5" t="s">
        <v>3</v>
      </c>
      <c r="C776" s="1">
        <v>6992</v>
      </c>
      <c r="D776" s="14">
        <v>4.34</v>
      </c>
      <c r="E776" s="1">
        <v>6245</v>
      </c>
      <c r="F776" s="1">
        <v>143</v>
      </c>
      <c r="G776" s="1">
        <v>257227</v>
      </c>
      <c r="H776" s="118">
        <f t="shared" si="732"/>
        <v>604</v>
      </c>
      <c r="I776" s="117"/>
      <c r="J776" s="117"/>
      <c r="K776" s="114">
        <f t="shared" si="730"/>
        <v>59268.894009216594</v>
      </c>
      <c r="L776" s="21">
        <f t="shared" si="731"/>
        <v>1611.0599078341015</v>
      </c>
      <c r="M776" s="31">
        <f t="shared" si="733"/>
        <v>-2.2653721682847898E-2</v>
      </c>
      <c r="N776" s="31">
        <f t="shared" si="734"/>
        <v>2.2385723231058235E-2</v>
      </c>
      <c r="O776" s="43">
        <f t="shared" si="735"/>
        <v>32.94930875576037</v>
      </c>
      <c r="P776" s="49">
        <f t="shared" si="736"/>
        <v>2.0451945080091533E-2</v>
      </c>
      <c r="Q776" s="47">
        <f t="shared" si="737"/>
        <v>139.17050691244239</v>
      </c>
      <c r="R776" s="66">
        <f t="shared" si="738"/>
        <v>425.87251655629137</v>
      </c>
      <c r="S776" s="92">
        <f t="shared" si="739"/>
        <v>2.9953917050691246</v>
      </c>
      <c r="T776" s="93">
        <f t="shared" si="740"/>
        <v>0</v>
      </c>
      <c r="V776" s="98" t="str">
        <f t="shared" si="741"/>
        <v>AL</v>
      </c>
      <c r="W776" s="102">
        <f t="shared" si="742"/>
        <v>28.241674207187408</v>
      </c>
      <c r="X776" s="103">
        <f t="shared" si="743"/>
        <v>1.6489802458611563E-2</v>
      </c>
      <c r="Y776" s="122">
        <f t="shared" si="744"/>
        <v>0.91361556064073224</v>
      </c>
      <c r="Z776" s="123">
        <f t="shared" si="745"/>
        <v>2.2385723231058235E-2</v>
      </c>
      <c r="AA776" s="123">
        <f t="shared" si="746"/>
        <v>2.0451945080091533E-2</v>
      </c>
      <c r="AB776" s="124">
        <f t="shared" si="747"/>
        <v>1.0628481034177096E-2</v>
      </c>
    </row>
    <row r="777" spans="2:28" x14ac:dyDescent="0.3">
      <c r="B777" s="5" t="s">
        <v>4</v>
      </c>
      <c r="C777" s="1">
        <v>294</v>
      </c>
      <c r="D777" s="14">
        <v>1.36</v>
      </c>
      <c r="E777" s="1">
        <v>278</v>
      </c>
      <c r="F777" s="1">
        <v>7</v>
      </c>
      <c r="G777" s="1">
        <v>43008</v>
      </c>
      <c r="H777" s="118">
        <f t="shared" si="732"/>
        <v>9</v>
      </c>
      <c r="I777" s="117"/>
      <c r="J777" s="117"/>
      <c r="K777" s="114">
        <f t="shared" si="730"/>
        <v>31623.529411764703</v>
      </c>
      <c r="L777" s="21">
        <f t="shared" si="731"/>
        <v>216.17647058823528</v>
      </c>
      <c r="M777" s="31">
        <f t="shared" si="733"/>
        <v>-0.35714285714285715</v>
      </c>
      <c r="N777" s="31">
        <f t="shared" si="734"/>
        <v>2.456140350877193E-2</v>
      </c>
      <c r="O777" s="43">
        <f t="shared" si="735"/>
        <v>5.1470588235294112</v>
      </c>
      <c r="P777" s="49">
        <f t="shared" si="736"/>
        <v>2.3809523809523808E-2</v>
      </c>
      <c r="Q777" s="47">
        <f t="shared" si="737"/>
        <v>6.617647058823529</v>
      </c>
      <c r="R777" s="66">
        <f t="shared" si="738"/>
        <v>4778.666666666667</v>
      </c>
      <c r="S777" s="92">
        <f t="shared" si="739"/>
        <v>0</v>
      </c>
      <c r="T777" s="93">
        <f t="shared" si="740"/>
        <v>0</v>
      </c>
      <c r="V777" s="98" t="str">
        <f t="shared" si="741"/>
        <v>MA</v>
      </c>
      <c r="W777" s="102">
        <f t="shared" si="742"/>
        <v>107.28098039215686</v>
      </c>
      <c r="X777" s="103">
        <f t="shared" si="743"/>
        <v>4.1469487616356375E-3</v>
      </c>
      <c r="Y777" s="122">
        <f t="shared" si="744"/>
        <v>0.96938775510204078</v>
      </c>
      <c r="Z777" s="123">
        <f t="shared" si="745"/>
        <v>2.456140350877193E-2</v>
      </c>
      <c r="AA777" s="123">
        <f t="shared" si="746"/>
        <v>2.3809523809523808E-2</v>
      </c>
      <c r="AB777" s="124">
        <f t="shared" si="747"/>
        <v>3.2747282000032E-3</v>
      </c>
    </row>
    <row r="778" spans="2:28" x14ac:dyDescent="0.3">
      <c r="B778" s="5" t="s">
        <v>5</v>
      </c>
      <c r="C778" s="1">
        <v>645</v>
      </c>
      <c r="D778" s="14">
        <v>1.17</v>
      </c>
      <c r="E778" s="1">
        <v>580</v>
      </c>
      <c r="F778" s="1">
        <v>10</v>
      </c>
      <c r="G778" s="1">
        <v>47114</v>
      </c>
      <c r="H778" s="118">
        <f t="shared" si="732"/>
        <v>55</v>
      </c>
      <c r="I778" s="117"/>
      <c r="J778" s="117"/>
      <c r="K778" s="114">
        <f t="shared" si="730"/>
        <v>40268.37606837607</v>
      </c>
      <c r="L778" s="21">
        <f t="shared" si="731"/>
        <v>551.28205128205127</v>
      </c>
      <c r="M778" s="31">
        <f t="shared" si="733"/>
        <v>-9.8360655737704916E-2</v>
      </c>
      <c r="N778" s="31">
        <f t="shared" si="734"/>
        <v>1.6949152542372881E-2</v>
      </c>
      <c r="O778" s="43">
        <f t="shared" si="735"/>
        <v>8.5470085470085468</v>
      </c>
      <c r="P778" s="49">
        <f t="shared" si="736"/>
        <v>1.5503875968992248E-2</v>
      </c>
      <c r="Q778" s="47">
        <f t="shared" si="737"/>
        <v>47.008547008547012</v>
      </c>
      <c r="R778" s="66">
        <f t="shared" si="738"/>
        <v>856.61818181818182</v>
      </c>
      <c r="S778" s="92">
        <f t="shared" si="739"/>
        <v>3.4188034188034191</v>
      </c>
      <c r="T778" s="93">
        <f t="shared" si="740"/>
        <v>0</v>
      </c>
      <c r="V778" s="98" t="str">
        <f t="shared" si="741"/>
        <v>SA</v>
      </c>
      <c r="W778" s="102">
        <f t="shared" si="742"/>
        <v>101.16717806267805</v>
      </c>
      <c r="X778" s="103">
        <f t="shared" si="743"/>
        <v>8.3050131234425496E-3</v>
      </c>
      <c r="Y778" s="122">
        <f t="shared" si="744"/>
        <v>0.9147286821705426</v>
      </c>
      <c r="Z778" s="123">
        <f t="shared" si="745"/>
        <v>1.6949152542372881E-2</v>
      </c>
      <c r="AA778" s="123">
        <f t="shared" si="746"/>
        <v>1.5503875968992248E-2</v>
      </c>
      <c r="AB778" s="124">
        <f t="shared" si="747"/>
        <v>3.8793273369538426E-3</v>
      </c>
    </row>
    <row r="779" spans="2:28" x14ac:dyDescent="0.3">
      <c r="B779" s="5" t="s">
        <v>6</v>
      </c>
      <c r="C779" s="1">
        <v>1056</v>
      </c>
      <c r="D779" s="14">
        <v>0.96499999999999997</v>
      </c>
      <c r="E779" s="1">
        <v>978</v>
      </c>
      <c r="F779" s="1">
        <v>60</v>
      </c>
      <c r="G779" s="1">
        <f>41391+C779</f>
        <v>42447</v>
      </c>
      <c r="H779" s="118">
        <f t="shared" si="732"/>
        <v>18</v>
      </c>
      <c r="I779" s="117"/>
      <c r="J779" s="117"/>
      <c r="K779" s="114">
        <f t="shared" si="730"/>
        <v>43986.52849740933</v>
      </c>
      <c r="L779" s="21">
        <f t="shared" si="731"/>
        <v>1094.300518134715</v>
      </c>
      <c r="M779" s="31">
        <f t="shared" si="733"/>
        <v>0</v>
      </c>
      <c r="N779" s="31">
        <f t="shared" si="734"/>
        <v>5.7803468208092484E-2</v>
      </c>
      <c r="O779" s="43">
        <f t="shared" si="735"/>
        <v>62.176165803108809</v>
      </c>
      <c r="P779" s="49">
        <f t="shared" si="736"/>
        <v>5.6818181818181816E-2</v>
      </c>
      <c r="Q779" s="47">
        <f t="shared" si="737"/>
        <v>18.652849740932645</v>
      </c>
      <c r="R779" s="66">
        <f t="shared" si="738"/>
        <v>2358.1666666666665</v>
      </c>
      <c r="S779" s="92">
        <f t="shared" si="739"/>
        <v>1.0362694300518136</v>
      </c>
      <c r="T779" s="93">
        <f t="shared" si="740"/>
        <v>1.0362694300518136</v>
      </c>
      <c r="V779" s="98" t="str">
        <f t="shared" si="741"/>
        <v>NS</v>
      </c>
      <c r="W779" s="102">
        <f t="shared" si="742"/>
        <v>9.759313989637306</v>
      </c>
      <c r="X779" s="103">
        <f t="shared" si="743"/>
        <v>1.5092024547257679E-2</v>
      </c>
      <c r="Y779" s="122">
        <f t="shared" si="744"/>
        <v>0.98295454545454541</v>
      </c>
      <c r="Z779" s="123">
        <f t="shared" si="745"/>
        <v>5.7803468208092484E-2</v>
      </c>
      <c r="AA779" s="123">
        <f t="shared" si="746"/>
        <v>5.6818181818181816E-2</v>
      </c>
      <c r="AB779" s="124">
        <f t="shared" si="747"/>
        <v>9.6014398578835869E-3</v>
      </c>
    </row>
    <row r="780" spans="2:28" x14ac:dyDescent="0.3">
      <c r="B780" s="5" t="s">
        <v>7</v>
      </c>
      <c r="C780" s="1">
        <v>129</v>
      </c>
      <c r="D780" s="14">
        <v>0.77200000000000002</v>
      </c>
      <c r="E780" s="1">
        <v>120</v>
      </c>
      <c r="F780" s="1">
        <v>0</v>
      </c>
      <c r="G780" s="1">
        <v>24867</v>
      </c>
      <c r="H780" s="118">
        <f t="shared" si="732"/>
        <v>9</v>
      </c>
      <c r="I780" s="117"/>
      <c r="J780" s="117"/>
      <c r="K780" s="114">
        <f t="shared" si="730"/>
        <v>32211.139896373057</v>
      </c>
      <c r="L780" s="21">
        <f t="shared" si="731"/>
        <v>167.09844559585491</v>
      </c>
      <c r="M780" s="31">
        <f t="shared" si="733"/>
        <v>0.125</v>
      </c>
      <c r="N780" s="31">
        <f t="shared" si="734"/>
        <v>0</v>
      </c>
      <c r="O780" s="43">
        <f t="shared" si="735"/>
        <v>0</v>
      </c>
      <c r="P780" s="49">
        <f t="shared" si="736"/>
        <v>0</v>
      </c>
      <c r="Q780" s="47">
        <f t="shared" si="737"/>
        <v>11.658031088082902</v>
      </c>
      <c r="R780" s="66">
        <f>IFERROR(G780/H780,20000)</f>
        <v>2763</v>
      </c>
      <c r="S780" s="92">
        <f t="shared" si="739"/>
        <v>1.2953367875647668</v>
      </c>
      <c r="T780" s="93">
        <f t="shared" si="740"/>
        <v>0</v>
      </c>
      <c r="V780" s="98" t="str">
        <f t="shared" si="741"/>
        <v>NB</v>
      </c>
      <c r="W780" s="102">
        <f t="shared" si="742"/>
        <v>500.92832469775476</v>
      </c>
      <c r="X780" s="103">
        <f t="shared" si="743"/>
        <v>3.1470011525143544E-3</v>
      </c>
      <c r="Y780" s="122">
        <f t="shared" si="744"/>
        <v>0.93023255813953487</v>
      </c>
      <c r="Z780" s="123">
        <f t="shared" si="745"/>
        <v>0</v>
      </c>
      <c r="AA780" s="123">
        <f t="shared" si="746"/>
        <v>0</v>
      </c>
      <c r="AB780" s="124">
        <f t="shared" si="747"/>
        <v>2.5462876878210813E-3</v>
      </c>
    </row>
    <row r="781" spans="2:28" x14ac:dyDescent="0.3">
      <c r="B781" s="5" t="s">
        <v>18</v>
      </c>
      <c r="C781" s="9">
        <v>27</v>
      </c>
      <c r="D781" s="15">
        <v>0.154</v>
      </c>
      <c r="E781" s="9">
        <v>27</v>
      </c>
      <c r="F781" s="9">
        <v>0</v>
      </c>
      <c r="G781" s="9">
        <v>6306</v>
      </c>
      <c r="H781" s="118">
        <f t="shared" si="732"/>
        <v>0</v>
      </c>
      <c r="I781" s="117"/>
      <c r="J781" s="117"/>
      <c r="K781" s="115">
        <f t="shared" si="730"/>
        <v>40948.051948051951</v>
      </c>
      <c r="L781" s="22">
        <f t="shared" si="731"/>
        <v>175.32467532467533</v>
      </c>
      <c r="M781" s="31">
        <v>0</v>
      </c>
      <c r="N781" s="31">
        <f t="shared" si="734"/>
        <v>0</v>
      </c>
      <c r="O781" s="44">
        <f t="shared" si="735"/>
        <v>0</v>
      </c>
      <c r="P781" s="49">
        <f t="shared" si="736"/>
        <v>0</v>
      </c>
      <c r="Q781" s="47">
        <f t="shared" si="737"/>
        <v>0</v>
      </c>
      <c r="R781" s="66">
        <f>IFERROR(G781/H781,20000)</f>
        <v>20000</v>
      </c>
      <c r="S781" s="92">
        <f t="shared" si="739"/>
        <v>0</v>
      </c>
      <c r="T781" s="93">
        <f t="shared" si="740"/>
        <v>0</v>
      </c>
      <c r="V781" s="98" t="str">
        <f t="shared" si="741"/>
        <v>PEI</v>
      </c>
      <c r="W781" s="102">
        <f t="shared" si="742"/>
        <v>500.97402597402595</v>
      </c>
      <c r="X781" s="103">
        <f t="shared" si="743"/>
        <v>2.5974092556228104E-3</v>
      </c>
      <c r="Y781" s="122">
        <f t="shared" si="744"/>
        <v>1</v>
      </c>
      <c r="Z781" s="123">
        <f t="shared" si="745"/>
        <v>0</v>
      </c>
      <c r="AA781" s="123">
        <f t="shared" si="746"/>
        <v>0</v>
      </c>
      <c r="AB781" s="124">
        <f t="shared" si="747"/>
        <v>2.7028045766656337E-3</v>
      </c>
    </row>
    <row r="782" spans="2:28" ht="15" thickBot="1" x14ac:dyDescent="0.35">
      <c r="B782" s="5" t="s">
        <v>11</v>
      </c>
      <c r="C782" s="9">
        <v>261</v>
      </c>
      <c r="D782" s="15">
        <v>0.52400000000000002</v>
      </c>
      <c r="E782" s="9">
        <v>255</v>
      </c>
      <c r="F782" s="9">
        <v>3</v>
      </c>
      <c r="G782" s="9">
        <v>12095</v>
      </c>
      <c r="H782" s="119">
        <f t="shared" si="732"/>
        <v>3</v>
      </c>
      <c r="I782" s="117"/>
      <c r="J782" s="117"/>
      <c r="K782" s="115">
        <f t="shared" si="730"/>
        <v>23082.061068702289</v>
      </c>
      <c r="L782" s="22">
        <f t="shared" si="731"/>
        <v>498.09160305343511</v>
      </c>
      <c r="M782" s="31">
        <f>(H782-H768)/H768</f>
        <v>0</v>
      </c>
      <c r="N782" s="32">
        <f t="shared" si="734"/>
        <v>1.1627906976744186E-2</v>
      </c>
      <c r="O782" s="44">
        <f t="shared" si="735"/>
        <v>5.7251908396946565</v>
      </c>
      <c r="P782" s="50">
        <f t="shared" si="736"/>
        <v>1.1494252873563218E-2</v>
      </c>
      <c r="Q782" s="48">
        <f t="shared" si="737"/>
        <v>5.7251908396946565</v>
      </c>
      <c r="R782" s="67">
        <f>G782/H782</f>
        <v>4031.6666666666665</v>
      </c>
      <c r="S782" s="92">
        <f t="shared" si="739"/>
        <v>0</v>
      </c>
      <c r="T782" s="93">
        <f t="shared" si="740"/>
        <v>0</v>
      </c>
      <c r="V782" s="99" t="str">
        <f t="shared" si="741"/>
        <v>NFLD</v>
      </c>
      <c r="W782" s="120">
        <f t="shared" si="742"/>
        <v>200.31517557251911</v>
      </c>
      <c r="X782" s="103">
        <f t="shared" si="743"/>
        <v>1.3090770847809451E-2</v>
      </c>
      <c r="Y782" s="122">
        <f t="shared" si="744"/>
        <v>0.9885057471264368</v>
      </c>
      <c r="Z782" s="123">
        <f t="shared" si="745"/>
        <v>1.1627906976744186E-2</v>
      </c>
      <c r="AA782" s="123">
        <f t="shared" si="746"/>
        <v>1.1494252873563218E-2</v>
      </c>
      <c r="AB782" s="124">
        <f t="shared" si="747"/>
        <v>9.1053651262980352E-3</v>
      </c>
    </row>
    <row r="783" spans="2:28" ht="15" thickBot="1" x14ac:dyDescent="0.35">
      <c r="B783" s="11" t="s">
        <v>10</v>
      </c>
      <c r="C783" s="12">
        <v>90190</v>
      </c>
      <c r="D783" s="16">
        <v>37.6</v>
      </c>
      <c r="E783" s="12">
        <v>48103</v>
      </c>
      <c r="F783" s="12">
        <v>7073</v>
      </c>
      <c r="G783" s="12">
        <f>SUM(G773:G782)</f>
        <v>1710723</v>
      </c>
      <c r="H783" s="81">
        <f t="shared" si="732"/>
        <v>35014</v>
      </c>
      <c r="I783" s="117"/>
      <c r="J783" s="117"/>
      <c r="K783" s="77">
        <f t="shared" si="730"/>
        <v>45497.95212765957</v>
      </c>
      <c r="L783" s="23">
        <f t="shared" si="731"/>
        <v>2398.6702127659573</v>
      </c>
      <c r="M783" s="31">
        <f>(H783-H769)/H769</f>
        <v>2.6631539761175224E-3</v>
      </c>
      <c r="N783" s="33">
        <f t="shared" si="734"/>
        <v>0.12818979266347688</v>
      </c>
      <c r="O783" s="45">
        <f>F783/D783</f>
        <v>188.11170212765956</v>
      </c>
      <c r="P783" s="53">
        <f t="shared" si="736"/>
        <v>7.8423328528661712E-2</v>
      </c>
      <c r="Q783" s="55">
        <f t="shared" si="737"/>
        <v>931.22340425531911</v>
      </c>
      <c r="R783" s="74">
        <f>G783/H783</f>
        <v>48.858256697321075</v>
      </c>
      <c r="S783" s="92">
        <f t="shared" si="739"/>
        <v>20.531914893617021</v>
      </c>
      <c r="T783" s="93">
        <f t="shared" si="740"/>
        <v>2.5</v>
      </c>
      <c r="V783" s="108" t="str">
        <f t="shared" si="741"/>
        <v>Canada</v>
      </c>
      <c r="W783" s="109">
        <f t="shared" si="742"/>
        <v>14.207161411553734</v>
      </c>
      <c r="X783" s="103">
        <f t="shared" si="743"/>
        <v>3.1982269503546094E-2</v>
      </c>
      <c r="Y783" s="122">
        <f t="shared" si="744"/>
        <v>0.61177514136822264</v>
      </c>
      <c r="Z783" s="123">
        <f t="shared" si="745"/>
        <v>0.12818979266347688</v>
      </c>
      <c r="AA783" s="123">
        <f t="shared" si="746"/>
        <v>7.8423328528661712E-2</v>
      </c>
      <c r="AB783" s="124">
        <f t="shared" si="747"/>
        <v>1.8878014184397163E-2</v>
      </c>
    </row>
    <row r="784" spans="2:28" ht="15" thickBot="1" x14ac:dyDescent="0.35">
      <c r="B784" s="6" t="s">
        <v>9</v>
      </c>
      <c r="C784" s="7">
        <v>1809885</v>
      </c>
      <c r="D784" s="7">
        <v>327</v>
      </c>
      <c r="E784" s="7">
        <v>527995</v>
      </c>
      <c r="F784" s="7">
        <v>105231</v>
      </c>
      <c r="G784" s="7">
        <v>17088444</v>
      </c>
      <c r="H784" s="82">
        <f t="shared" si="732"/>
        <v>1176659</v>
      </c>
      <c r="I784" s="117"/>
      <c r="J784" s="117"/>
      <c r="K784" s="78">
        <f t="shared" si="730"/>
        <v>52258.238532110088</v>
      </c>
      <c r="L784" s="24">
        <f t="shared" si="731"/>
        <v>5534.8165137614678</v>
      </c>
      <c r="M784" s="31">
        <f>(H784-H770)/H770</f>
        <v>-2.55748188485652E-3</v>
      </c>
      <c r="N784" s="33">
        <f t="shared" si="734"/>
        <v>0.16618237406549952</v>
      </c>
      <c r="O784" s="46">
        <f>F784/D784</f>
        <v>321.8073394495413</v>
      </c>
      <c r="P784" s="52">
        <f t="shared" si="736"/>
        <v>5.8142368161513025E-2</v>
      </c>
      <c r="Q784" s="54">
        <f t="shared" si="737"/>
        <v>3598.3455657492354</v>
      </c>
      <c r="R784" s="72">
        <f>G784/H784</f>
        <v>14.522851565321814</v>
      </c>
      <c r="S784" s="92">
        <f t="shared" si="739"/>
        <v>72.688073394495419</v>
      </c>
      <c r="T784" s="93">
        <f t="shared" si="740"/>
        <v>3.3516819571865444</v>
      </c>
      <c r="V784" s="108" t="str">
        <f t="shared" si="741"/>
        <v>USA</v>
      </c>
      <c r="W784" s="109">
        <f t="shared" si="742"/>
        <v>31.443772442392959</v>
      </c>
      <c r="X784" s="103">
        <f t="shared" si="743"/>
        <v>6.4250875103330371E-2</v>
      </c>
      <c r="Y784" s="122">
        <f t="shared" si="744"/>
        <v>0.3498708481478105</v>
      </c>
      <c r="Z784" s="123">
        <f t="shared" si="745"/>
        <v>0.16618237406549952</v>
      </c>
      <c r="AA784" s="123">
        <f t="shared" si="746"/>
        <v>5.8142368161513025E-2</v>
      </c>
      <c r="AB784" s="124">
        <f t="shared" si="747"/>
        <v>5.1341378249554821E-2</v>
      </c>
    </row>
    <row r="785" spans="2:28" ht="15" thickBot="1" x14ac:dyDescent="0.35"/>
    <row r="786" spans="2:28" ht="58.2" thickBot="1" x14ac:dyDescent="0.35">
      <c r="B786" s="96">
        <v>37043</v>
      </c>
      <c r="C786" s="18" t="s">
        <v>8</v>
      </c>
      <c r="D786" s="19" t="s">
        <v>17</v>
      </c>
      <c r="E786" s="19" t="s">
        <v>15</v>
      </c>
      <c r="F786" s="19" t="s">
        <v>16</v>
      </c>
      <c r="G786" s="19" t="s">
        <v>14</v>
      </c>
      <c r="H786" s="20" t="s">
        <v>38</v>
      </c>
      <c r="I786" s="116"/>
      <c r="J786" s="116"/>
      <c r="K786" s="19" t="s">
        <v>21</v>
      </c>
      <c r="L786" s="19" t="s">
        <v>20</v>
      </c>
      <c r="M786" s="19" t="s">
        <v>40</v>
      </c>
      <c r="N786" s="19" t="s">
        <v>32</v>
      </c>
      <c r="O786" s="19" t="s">
        <v>22</v>
      </c>
      <c r="P786" s="51" t="s">
        <v>34</v>
      </c>
      <c r="Q786" s="20" t="s">
        <v>35</v>
      </c>
      <c r="R786" s="63" t="s">
        <v>39</v>
      </c>
      <c r="S786" s="91" t="s">
        <v>43</v>
      </c>
      <c r="T786" s="91" t="s">
        <v>44</v>
      </c>
      <c r="V786" s="104" t="s">
        <v>48</v>
      </c>
      <c r="W786" s="105" t="s">
        <v>49</v>
      </c>
      <c r="X786" s="106" t="s">
        <v>50</v>
      </c>
      <c r="Y786" s="61" t="s">
        <v>52</v>
      </c>
      <c r="Z786" s="61" t="s">
        <v>55</v>
      </c>
      <c r="AA786" s="61" t="s">
        <v>56</v>
      </c>
      <c r="AB786" s="61" t="s">
        <v>54</v>
      </c>
    </row>
    <row r="787" spans="2:28" x14ac:dyDescent="0.3">
      <c r="B787" s="3" t="s">
        <v>0</v>
      </c>
      <c r="C787" s="1">
        <v>28263</v>
      </c>
      <c r="D787" s="14">
        <v>14.45</v>
      </c>
      <c r="E787" s="1">
        <v>22153</v>
      </c>
      <c r="F787" s="1">
        <v>2276</v>
      </c>
      <c r="G787" s="1">
        <v>732720</v>
      </c>
      <c r="H787" s="118">
        <f>C787-E787-F787</f>
        <v>3834</v>
      </c>
      <c r="I787" s="117"/>
      <c r="J787" s="117"/>
      <c r="K787" s="114">
        <f t="shared" ref="K787:K798" si="748">G787/D787</f>
        <v>50707.266435986159</v>
      </c>
      <c r="L787" s="21">
        <f t="shared" ref="L787:L798" si="749">C787/D787</f>
        <v>1955.9169550173012</v>
      </c>
      <c r="M787" s="31">
        <f>(H787-H773)/H773</f>
        <v>-2.5171624713958809E-2</v>
      </c>
      <c r="N787" s="31">
        <f>F787/(E787+F787)</f>
        <v>9.3167956117728934E-2</v>
      </c>
      <c r="O787" s="43">
        <f>F787/D787</f>
        <v>157.50865051903114</v>
      </c>
      <c r="P787" s="49">
        <f>F787/C787</f>
        <v>8.0529313944025752E-2</v>
      </c>
      <c r="Q787" s="47">
        <f>(C787-E787-F787)/D787</f>
        <v>265.32871972318338</v>
      </c>
      <c r="R787" s="66">
        <f>G787/H787</f>
        <v>191.11111111111111</v>
      </c>
      <c r="S787" s="92">
        <f>(C787-C773)/D787/2</f>
        <v>25.259515570934258</v>
      </c>
      <c r="T787" s="93">
        <f>(F787-F773)/D787/2</f>
        <v>1.0034602076124568</v>
      </c>
      <c r="V787" s="101" t="str">
        <f>B787</f>
        <v>ON</v>
      </c>
      <c r="W787" s="102">
        <f>L787/180+IFERROR((D787*C787*13)/(F787*F787),500)</f>
        <v>11.891113445838416</v>
      </c>
      <c r="X787" s="103">
        <f>L787/75000*K$797/K787</f>
        <v>2.4204857628991834E-2</v>
      </c>
      <c r="Y787" s="122">
        <f>(E787+F787)/C787</f>
        <v>0.86434561086933448</v>
      </c>
      <c r="Z787" s="123">
        <f>N787</f>
        <v>9.3167956117728934E-2</v>
      </c>
      <c r="AA787" s="123">
        <f>P787</f>
        <v>8.0529313944025752E-2</v>
      </c>
      <c r="AB787" s="124">
        <f>X423</f>
        <v>1.7348816145941644E-2</v>
      </c>
    </row>
    <row r="788" spans="2:28" x14ac:dyDescent="0.3">
      <c r="B788" s="5" t="s">
        <v>1</v>
      </c>
      <c r="C788" s="1">
        <v>51354</v>
      </c>
      <c r="D788" s="14">
        <v>8.43</v>
      </c>
      <c r="E788" s="1">
        <v>16597</v>
      </c>
      <c r="F788" s="1">
        <v>4661</v>
      </c>
      <c r="G788" s="1">
        <f>434940+13636</f>
        <v>448576</v>
      </c>
      <c r="H788" s="118">
        <f t="shared" ref="H788:H798" si="750">C788-E788-F788</f>
        <v>30096</v>
      </c>
      <c r="I788" s="117"/>
      <c r="J788" s="117"/>
      <c r="K788" s="114">
        <f t="shared" si="748"/>
        <v>53211.862396204036</v>
      </c>
      <c r="L788" s="21">
        <f t="shared" si="749"/>
        <v>6091.8149466192172</v>
      </c>
      <c r="M788" s="31">
        <f t="shared" ref="M788:M794" si="751">(H788-H774)/H774</f>
        <v>-1.5261097471966027E-3</v>
      </c>
      <c r="N788" s="31">
        <f t="shared" ref="N788:N798" si="752">F788/(E788+F788)</f>
        <v>0.21925863204440682</v>
      </c>
      <c r="O788" s="43">
        <f t="shared" ref="O788:O796" si="753">F788/D788</f>
        <v>552.90628706998814</v>
      </c>
      <c r="P788" s="49">
        <f t="shared" ref="P788:P798" si="754">F788/C788</f>
        <v>9.0762160688553958E-2</v>
      </c>
      <c r="Q788" s="47">
        <f t="shared" ref="Q788:Q798" si="755">(C788-E788-F788)/D788</f>
        <v>3570.1067615658362</v>
      </c>
      <c r="R788" s="66">
        <f t="shared" ref="R788:R793" si="756">G788/H788</f>
        <v>14.904837852206274</v>
      </c>
      <c r="S788" s="92">
        <f t="shared" ref="S788:S798" si="757">(C788-C774)/D788/2</f>
        <v>41.696322657176751</v>
      </c>
      <c r="T788" s="93">
        <f t="shared" ref="T788:T798" si="758">(F788-F774)/D788/2</f>
        <v>13.167259786476869</v>
      </c>
      <c r="V788" s="98" t="str">
        <f t="shared" ref="V788:V798" si="759">B788</f>
        <v>QC</v>
      </c>
      <c r="W788" s="102">
        <f t="shared" ref="W788:W798" si="760">L788/180+IFERROR((D788*C788*13)/(F788*F788),500)</f>
        <v>34.102468398880532</v>
      </c>
      <c r="X788" s="103">
        <f t="shared" ref="X788:X798" si="761">L788/75000*K$797/K788</f>
        <v>7.1839047056330319E-2</v>
      </c>
      <c r="Y788" s="122">
        <f t="shared" ref="Y788:Y798" si="762">(E788+F788)/C788</f>
        <v>0.41395022783035401</v>
      </c>
      <c r="Z788" s="123">
        <f t="shared" ref="Z788:Z798" si="763">N788</f>
        <v>0.21925863204440682</v>
      </c>
      <c r="AA788" s="123">
        <f t="shared" ref="AA788:AA798" si="764">P788</f>
        <v>9.0762160688553958E-2</v>
      </c>
      <c r="AB788" s="124">
        <f t="shared" ref="AB788:AB798" si="765">X424</f>
        <v>3.9922795079345416E-2</v>
      </c>
    </row>
    <row r="789" spans="2:28" x14ac:dyDescent="0.3">
      <c r="B789" s="5" t="s">
        <v>2</v>
      </c>
      <c r="C789" s="1">
        <v>2597</v>
      </c>
      <c r="D789" s="14">
        <v>5.0199999999999996</v>
      </c>
      <c r="E789" s="1">
        <v>2207</v>
      </c>
      <c r="F789" s="1">
        <v>165</v>
      </c>
      <c r="G789" s="95">
        <v>141392</v>
      </c>
      <c r="H789" s="118">
        <f t="shared" si="750"/>
        <v>225</v>
      </c>
      <c r="I789" s="117"/>
      <c r="J789" s="117"/>
      <c r="K789" s="114">
        <f t="shared" si="748"/>
        <v>28165.737051792832</v>
      </c>
      <c r="L789" s="21">
        <f t="shared" si="749"/>
        <v>517.33067729083666</v>
      </c>
      <c r="M789" s="31">
        <f t="shared" si="751"/>
        <v>-1.3157894736842105E-2</v>
      </c>
      <c r="N789" s="31">
        <f t="shared" si="752"/>
        <v>6.9561551433389546E-2</v>
      </c>
      <c r="O789" s="43">
        <f t="shared" si="753"/>
        <v>32.868525896414347</v>
      </c>
      <c r="P789" s="49">
        <f t="shared" si="754"/>
        <v>6.3534847901424718E-2</v>
      </c>
      <c r="Q789" s="47">
        <f t="shared" si="755"/>
        <v>44.820717131474105</v>
      </c>
      <c r="R789" s="66">
        <f t="shared" si="756"/>
        <v>628.4088888888889</v>
      </c>
      <c r="S789" s="92">
        <f t="shared" si="757"/>
        <v>2.3904382470119523</v>
      </c>
      <c r="T789" s="93">
        <f t="shared" si="758"/>
        <v>9.9601593625498017E-2</v>
      </c>
      <c r="V789" s="98" t="str">
        <f t="shared" si="759"/>
        <v>BC</v>
      </c>
      <c r="W789" s="102">
        <f t="shared" si="760"/>
        <v>9.0992280969784769</v>
      </c>
      <c r="X789" s="103">
        <f t="shared" si="761"/>
        <v>1.1525756282317976E-2</v>
      </c>
      <c r="Y789" s="122">
        <f t="shared" si="762"/>
        <v>0.91336157104351179</v>
      </c>
      <c r="Z789" s="123">
        <f t="shared" si="763"/>
        <v>6.9561551433389546E-2</v>
      </c>
      <c r="AA789" s="123">
        <f t="shared" si="764"/>
        <v>6.3534847901424718E-2</v>
      </c>
      <c r="AB789" s="124">
        <f t="shared" si="765"/>
        <v>7.5409071056360853E-3</v>
      </c>
    </row>
    <row r="790" spans="2:28" x14ac:dyDescent="0.3">
      <c r="B790" s="5" t="s">
        <v>3</v>
      </c>
      <c r="C790" s="1">
        <v>7044</v>
      </c>
      <c r="D790" s="14">
        <v>4.34</v>
      </c>
      <c r="E790" s="1">
        <v>6501</v>
      </c>
      <c r="F790" s="1">
        <v>143</v>
      </c>
      <c r="G790" s="1">
        <v>263074</v>
      </c>
      <c r="H790" s="118">
        <f t="shared" si="750"/>
        <v>400</v>
      </c>
      <c r="I790" s="117"/>
      <c r="J790" s="117"/>
      <c r="K790" s="114">
        <f t="shared" si="748"/>
        <v>60616.129032258068</v>
      </c>
      <c r="L790" s="21">
        <f t="shared" si="749"/>
        <v>1623.0414746543779</v>
      </c>
      <c r="M790" s="31">
        <f t="shared" si="751"/>
        <v>-0.33774834437086093</v>
      </c>
      <c r="N790" s="31">
        <f t="shared" si="752"/>
        <v>2.1523178807947019E-2</v>
      </c>
      <c r="O790" s="43">
        <f t="shared" si="753"/>
        <v>32.94930875576037</v>
      </c>
      <c r="P790" s="49">
        <f t="shared" si="754"/>
        <v>2.0300965360590572E-2</v>
      </c>
      <c r="Q790" s="47">
        <f t="shared" si="755"/>
        <v>92.16589861751153</v>
      </c>
      <c r="R790" s="66">
        <f t="shared" si="756"/>
        <v>657.68499999999995</v>
      </c>
      <c r="S790" s="92">
        <f t="shared" si="757"/>
        <v>5.9907834101382491</v>
      </c>
      <c r="T790" s="93">
        <f t="shared" si="758"/>
        <v>0</v>
      </c>
      <c r="V790" s="98" t="str">
        <f t="shared" si="759"/>
        <v>AL</v>
      </c>
      <c r="W790" s="102">
        <f t="shared" si="760"/>
        <v>28.451709541680216</v>
      </c>
      <c r="X790" s="103">
        <f t="shared" si="761"/>
        <v>1.680210672864637E-2</v>
      </c>
      <c r="Y790" s="122">
        <f t="shared" si="762"/>
        <v>0.94321408290743891</v>
      </c>
      <c r="Z790" s="123">
        <f t="shared" si="763"/>
        <v>2.1523178807947019E-2</v>
      </c>
      <c r="AA790" s="123">
        <f t="shared" si="764"/>
        <v>2.0300965360590572E-2</v>
      </c>
      <c r="AB790" s="124">
        <f t="shared" si="765"/>
        <v>1.1132900459046963E-2</v>
      </c>
    </row>
    <row r="791" spans="2:28" x14ac:dyDescent="0.3">
      <c r="B791" s="5" t="s">
        <v>4</v>
      </c>
      <c r="C791" s="1">
        <v>295</v>
      </c>
      <c r="D791" s="14">
        <v>1.36</v>
      </c>
      <c r="E791" s="1">
        <v>278</v>
      </c>
      <c r="F791" s="1">
        <v>7</v>
      </c>
      <c r="G791" s="1">
        <v>44692</v>
      </c>
      <c r="H791" s="118">
        <f t="shared" si="750"/>
        <v>10</v>
      </c>
      <c r="I791" s="117"/>
      <c r="J791" s="117"/>
      <c r="K791" s="114">
        <f t="shared" si="748"/>
        <v>32861.76470588235</v>
      </c>
      <c r="L791" s="21">
        <f t="shared" si="749"/>
        <v>216.91176470588235</v>
      </c>
      <c r="M791" s="31">
        <f t="shared" si="751"/>
        <v>0.1111111111111111</v>
      </c>
      <c r="N791" s="31">
        <f t="shared" si="752"/>
        <v>2.456140350877193E-2</v>
      </c>
      <c r="O791" s="43">
        <f t="shared" si="753"/>
        <v>5.1470588235294112</v>
      </c>
      <c r="P791" s="49">
        <f t="shared" si="754"/>
        <v>2.3728813559322035E-2</v>
      </c>
      <c r="Q791" s="47">
        <f t="shared" si="755"/>
        <v>7.3529411764705879</v>
      </c>
      <c r="R791" s="66">
        <f t="shared" si="756"/>
        <v>4469.2</v>
      </c>
      <c r="S791" s="92">
        <f t="shared" si="757"/>
        <v>0.36764705882352938</v>
      </c>
      <c r="T791" s="93">
        <f t="shared" si="758"/>
        <v>0</v>
      </c>
      <c r="V791" s="98" t="str">
        <f t="shared" si="759"/>
        <v>MA</v>
      </c>
      <c r="W791" s="102">
        <f t="shared" si="760"/>
        <v>107.64588168600774</v>
      </c>
      <c r="X791" s="103">
        <f t="shared" si="761"/>
        <v>4.1420424538511974E-3</v>
      </c>
      <c r="Y791" s="122">
        <f t="shared" si="762"/>
        <v>0.96610169491525422</v>
      </c>
      <c r="Z791" s="123">
        <f t="shared" si="763"/>
        <v>2.456140350877193E-2</v>
      </c>
      <c r="AA791" s="123">
        <f t="shared" si="764"/>
        <v>2.3728813559322035E-2</v>
      </c>
      <c r="AB791" s="124">
        <f t="shared" si="765"/>
        <v>3.360543812166588E-3</v>
      </c>
    </row>
    <row r="792" spans="2:28" x14ac:dyDescent="0.3">
      <c r="B792" s="5" t="s">
        <v>5</v>
      </c>
      <c r="C792" s="1">
        <v>646</v>
      </c>
      <c r="D792" s="14">
        <v>1.17</v>
      </c>
      <c r="E792" s="1">
        <v>588</v>
      </c>
      <c r="F792" s="1">
        <v>11</v>
      </c>
      <c r="G792" s="1">
        <v>48272</v>
      </c>
      <c r="H792" s="118">
        <f t="shared" si="750"/>
        <v>47</v>
      </c>
      <c r="I792" s="117"/>
      <c r="J792" s="117"/>
      <c r="K792" s="114">
        <f t="shared" si="748"/>
        <v>41258.119658119664</v>
      </c>
      <c r="L792" s="21">
        <f t="shared" si="749"/>
        <v>552.13675213675219</v>
      </c>
      <c r="M792" s="31">
        <f t="shared" si="751"/>
        <v>-0.14545454545454545</v>
      </c>
      <c r="N792" s="31">
        <f t="shared" si="752"/>
        <v>1.8363939899833055E-2</v>
      </c>
      <c r="O792" s="43">
        <f t="shared" si="753"/>
        <v>9.4017094017094021</v>
      </c>
      <c r="P792" s="49">
        <f t="shared" si="754"/>
        <v>1.7027863777089782E-2</v>
      </c>
      <c r="Q792" s="47">
        <f t="shared" si="755"/>
        <v>40.17094017094017</v>
      </c>
      <c r="R792" s="66">
        <f t="shared" si="756"/>
        <v>1027.063829787234</v>
      </c>
      <c r="S792" s="92">
        <f t="shared" si="757"/>
        <v>0.42735042735042739</v>
      </c>
      <c r="T792" s="93">
        <f t="shared" si="758"/>
        <v>0.42735042735042739</v>
      </c>
      <c r="V792" s="98" t="str">
        <f t="shared" si="759"/>
        <v>SA</v>
      </c>
      <c r="W792" s="102">
        <f t="shared" si="760"/>
        <v>84.271228053652294</v>
      </c>
      <c r="X792" s="103">
        <f t="shared" si="761"/>
        <v>8.3976843248777019E-3</v>
      </c>
      <c r="Y792" s="122">
        <f t="shared" si="762"/>
        <v>0.9272445820433437</v>
      </c>
      <c r="Z792" s="123">
        <f t="shared" si="763"/>
        <v>1.8363939899833055E-2</v>
      </c>
      <c r="AA792" s="123">
        <f t="shared" si="764"/>
        <v>1.7027863777089782E-2</v>
      </c>
      <c r="AB792" s="124">
        <f t="shared" si="765"/>
        <v>4.199222105642616E-3</v>
      </c>
    </row>
    <row r="793" spans="2:28" x14ac:dyDescent="0.3">
      <c r="B793" s="5" t="s">
        <v>6</v>
      </c>
      <c r="C793" s="1">
        <v>1057</v>
      </c>
      <c r="D793" s="14">
        <v>0.96499999999999997</v>
      </c>
      <c r="E793" s="1">
        <v>984</v>
      </c>
      <c r="F793" s="1">
        <v>60</v>
      </c>
      <c r="G793" s="1">
        <f>42426+C793</f>
        <v>43483</v>
      </c>
      <c r="H793" s="118">
        <f t="shared" si="750"/>
        <v>13</v>
      </c>
      <c r="I793" s="117"/>
      <c r="J793" s="117"/>
      <c r="K793" s="114">
        <f t="shared" si="748"/>
        <v>45060.103626943004</v>
      </c>
      <c r="L793" s="21">
        <f t="shared" si="749"/>
        <v>1095.3367875647668</v>
      </c>
      <c r="M793" s="31">
        <f t="shared" si="751"/>
        <v>-0.27777777777777779</v>
      </c>
      <c r="N793" s="31">
        <f t="shared" si="752"/>
        <v>5.7471264367816091E-2</v>
      </c>
      <c r="O793" s="43">
        <f t="shared" si="753"/>
        <v>62.176165803108809</v>
      </c>
      <c r="P793" s="49">
        <f t="shared" si="754"/>
        <v>5.6764427625354781E-2</v>
      </c>
      <c r="Q793" s="47">
        <f t="shared" si="755"/>
        <v>13.471502590673575</v>
      </c>
      <c r="R793" s="66">
        <f t="shared" si="756"/>
        <v>3344.8461538461538</v>
      </c>
      <c r="S793" s="92">
        <f t="shared" si="757"/>
        <v>0.5181347150259068</v>
      </c>
      <c r="T793" s="93">
        <f t="shared" si="758"/>
        <v>0</v>
      </c>
      <c r="V793" s="98" t="str">
        <f t="shared" si="759"/>
        <v>NS</v>
      </c>
      <c r="W793" s="102">
        <f t="shared" si="760"/>
        <v>9.7685557642487062</v>
      </c>
      <c r="X793" s="103">
        <f t="shared" si="761"/>
        <v>1.5253791568988484E-2</v>
      </c>
      <c r="Y793" s="122">
        <f t="shared" si="762"/>
        <v>0.98770104068117315</v>
      </c>
      <c r="Z793" s="123">
        <f t="shared" si="763"/>
        <v>5.7471264367816091E-2</v>
      </c>
      <c r="AA793" s="123">
        <f t="shared" si="764"/>
        <v>5.6764427625354781E-2</v>
      </c>
      <c r="AB793" s="124">
        <f t="shared" si="765"/>
        <v>9.8712074965979207E-3</v>
      </c>
    </row>
    <row r="794" spans="2:28" x14ac:dyDescent="0.3">
      <c r="B794" s="5" t="s">
        <v>7</v>
      </c>
      <c r="C794" s="1">
        <v>132</v>
      </c>
      <c r="D794" s="14">
        <v>0.77200000000000002</v>
      </c>
      <c r="E794" s="1">
        <v>120</v>
      </c>
      <c r="F794" s="1">
        <v>0</v>
      </c>
      <c r="G794" s="1">
        <v>28462</v>
      </c>
      <c r="H794" s="118">
        <f t="shared" si="750"/>
        <v>12</v>
      </c>
      <c r="I794" s="117"/>
      <c r="J794" s="117"/>
      <c r="K794" s="114">
        <f t="shared" si="748"/>
        <v>36867.875647668392</v>
      </c>
      <c r="L794" s="21">
        <f t="shared" si="749"/>
        <v>170.9844559585492</v>
      </c>
      <c r="M794" s="31">
        <f t="shared" si="751"/>
        <v>0.33333333333333331</v>
      </c>
      <c r="N794" s="31">
        <f t="shared" si="752"/>
        <v>0</v>
      </c>
      <c r="O794" s="43">
        <f t="shared" si="753"/>
        <v>0</v>
      </c>
      <c r="P794" s="49">
        <f t="shared" si="754"/>
        <v>0</v>
      </c>
      <c r="Q794" s="47">
        <f t="shared" si="755"/>
        <v>15.544041450777202</v>
      </c>
      <c r="R794" s="66">
        <f>IFERROR(G794/H794,20000)</f>
        <v>2371.8333333333335</v>
      </c>
      <c r="S794" s="92">
        <f t="shared" si="757"/>
        <v>1.9430051813471503</v>
      </c>
      <c r="T794" s="93">
        <f t="shared" si="758"/>
        <v>0</v>
      </c>
      <c r="V794" s="98" t="str">
        <f t="shared" si="759"/>
        <v>NB</v>
      </c>
      <c r="W794" s="102">
        <f t="shared" si="760"/>
        <v>500.94991364421418</v>
      </c>
      <c r="X794" s="103">
        <f t="shared" si="761"/>
        <v>2.9102536117585668E-3</v>
      </c>
      <c r="Y794" s="122">
        <f t="shared" si="762"/>
        <v>0.90909090909090906</v>
      </c>
      <c r="Z794" s="123">
        <f t="shared" si="763"/>
        <v>0</v>
      </c>
      <c r="AA794" s="123">
        <f t="shared" si="764"/>
        <v>0</v>
      </c>
      <c r="AB794" s="124">
        <f t="shared" si="765"/>
        <v>2.4754901618873524E-3</v>
      </c>
    </row>
    <row r="795" spans="2:28" x14ac:dyDescent="0.3">
      <c r="B795" s="5" t="s">
        <v>18</v>
      </c>
      <c r="C795" s="9">
        <v>27</v>
      </c>
      <c r="D795" s="15">
        <v>0.154</v>
      </c>
      <c r="E795" s="9">
        <v>27</v>
      </c>
      <c r="F795" s="9">
        <v>0</v>
      </c>
      <c r="G795" s="9">
        <v>6661</v>
      </c>
      <c r="H795" s="118">
        <f t="shared" si="750"/>
        <v>0</v>
      </c>
      <c r="I795" s="117"/>
      <c r="J795" s="117"/>
      <c r="K795" s="115">
        <f t="shared" si="748"/>
        <v>43253.246753246756</v>
      </c>
      <c r="L795" s="22">
        <f t="shared" si="749"/>
        <v>175.32467532467533</v>
      </c>
      <c r="M795" s="31">
        <v>0</v>
      </c>
      <c r="N795" s="31">
        <f t="shared" si="752"/>
        <v>0</v>
      </c>
      <c r="O795" s="44">
        <f t="shared" si="753"/>
        <v>0</v>
      </c>
      <c r="P795" s="49">
        <f t="shared" si="754"/>
        <v>0</v>
      </c>
      <c r="Q795" s="47">
        <f t="shared" si="755"/>
        <v>0</v>
      </c>
      <c r="R795" s="66">
        <f>IFERROR(G795/H795,20000)</f>
        <v>20000</v>
      </c>
      <c r="S795" s="92">
        <f t="shared" si="757"/>
        <v>0</v>
      </c>
      <c r="T795" s="93">
        <f t="shared" si="758"/>
        <v>0</v>
      </c>
      <c r="V795" s="98" t="str">
        <f t="shared" si="759"/>
        <v>PEI</v>
      </c>
      <c r="W795" s="102">
        <f t="shared" si="760"/>
        <v>500.97402597402595</v>
      </c>
      <c r="X795" s="103">
        <f t="shared" si="761"/>
        <v>2.5435873151753454E-3</v>
      </c>
      <c r="Y795" s="122">
        <f t="shared" si="762"/>
        <v>1</v>
      </c>
      <c r="Z795" s="123">
        <f t="shared" si="763"/>
        <v>0</v>
      </c>
      <c r="AA795" s="123">
        <f t="shared" si="764"/>
        <v>0</v>
      </c>
      <c r="AB795" s="124">
        <f t="shared" si="765"/>
        <v>2.714764425253334E-3</v>
      </c>
    </row>
    <row r="796" spans="2:28" ht="15" thickBot="1" x14ac:dyDescent="0.35">
      <c r="B796" s="5" t="s">
        <v>11</v>
      </c>
      <c r="C796" s="9">
        <v>261</v>
      </c>
      <c r="D796" s="15">
        <v>0.52400000000000002</v>
      </c>
      <c r="E796" s="9">
        <v>255</v>
      </c>
      <c r="F796" s="9">
        <v>3</v>
      </c>
      <c r="G796" s="9">
        <v>12253</v>
      </c>
      <c r="H796" s="119">
        <f t="shared" si="750"/>
        <v>3</v>
      </c>
      <c r="I796" s="117"/>
      <c r="J796" s="117"/>
      <c r="K796" s="115">
        <f t="shared" si="748"/>
        <v>23383.587786259541</v>
      </c>
      <c r="L796" s="22">
        <f t="shared" si="749"/>
        <v>498.09160305343511</v>
      </c>
      <c r="M796" s="31">
        <f>(H796-H782)/H782</f>
        <v>0</v>
      </c>
      <c r="N796" s="32">
        <f t="shared" si="752"/>
        <v>1.1627906976744186E-2</v>
      </c>
      <c r="O796" s="44">
        <f t="shared" si="753"/>
        <v>5.7251908396946565</v>
      </c>
      <c r="P796" s="50">
        <f t="shared" si="754"/>
        <v>1.1494252873563218E-2</v>
      </c>
      <c r="Q796" s="48">
        <f t="shared" si="755"/>
        <v>5.7251908396946565</v>
      </c>
      <c r="R796" s="67">
        <f>G796/H796</f>
        <v>4084.3333333333335</v>
      </c>
      <c r="S796" s="92">
        <f t="shared" si="757"/>
        <v>0</v>
      </c>
      <c r="T796" s="93">
        <f t="shared" si="758"/>
        <v>0</v>
      </c>
      <c r="V796" s="99" t="str">
        <f t="shared" si="759"/>
        <v>NFLD</v>
      </c>
      <c r="W796" s="120">
        <f t="shared" si="760"/>
        <v>200.31517557251911</v>
      </c>
      <c r="X796" s="103">
        <f t="shared" si="761"/>
        <v>1.3366582825569422E-2</v>
      </c>
      <c r="Y796" s="122">
        <f t="shared" si="762"/>
        <v>0.9885057471264368</v>
      </c>
      <c r="Z796" s="123">
        <f t="shared" si="763"/>
        <v>1.1627906976744186E-2</v>
      </c>
      <c r="AA796" s="123">
        <f t="shared" si="764"/>
        <v>1.1494252873563218E-2</v>
      </c>
      <c r="AB796" s="124">
        <f t="shared" si="765"/>
        <v>9.3027568931658804E-3</v>
      </c>
    </row>
    <row r="797" spans="2:28" ht="15" thickBot="1" x14ac:dyDescent="0.35">
      <c r="B797" s="11" t="s">
        <v>10</v>
      </c>
      <c r="C797" s="12">
        <v>91705</v>
      </c>
      <c r="D797" s="16">
        <v>37.6</v>
      </c>
      <c r="E797" s="12">
        <v>49726</v>
      </c>
      <c r="F797" s="12">
        <v>7326</v>
      </c>
      <c r="G797" s="12">
        <f>SUM(G787:G796)</f>
        <v>1769585</v>
      </c>
      <c r="H797" s="81">
        <f t="shared" si="750"/>
        <v>34653</v>
      </c>
      <c r="I797" s="117"/>
      <c r="J797" s="117"/>
      <c r="K797" s="77">
        <f t="shared" si="748"/>
        <v>47063.430851063829</v>
      </c>
      <c r="L797" s="23">
        <f t="shared" si="749"/>
        <v>2438.9627659574467</v>
      </c>
      <c r="M797" s="31">
        <f>(H797-H783)/H783</f>
        <v>-1.0310161649625863E-2</v>
      </c>
      <c r="N797" s="33">
        <f t="shared" si="752"/>
        <v>0.12840917058122414</v>
      </c>
      <c r="O797" s="45">
        <f>F797/D797</f>
        <v>194.84042553191489</v>
      </c>
      <c r="P797" s="53">
        <f t="shared" si="754"/>
        <v>7.988659287934137E-2</v>
      </c>
      <c r="Q797" s="55">
        <f t="shared" si="755"/>
        <v>921.62234042553189</v>
      </c>
      <c r="R797" s="74">
        <f>G797/H797</f>
        <v>51.065852884310161</v>
      </c>
      <c r="S797" s="92">
        <f t="shared" si="757"/>
        <v>20.146276595744681</v>
      </c>
      <c r="T797" s="93">
        <f t="shared" si="758"/>
        <v>3.3643617021276593</v>
      </c>
      <c r="V797" s="108" t="str">
        <f t="shared" si="759"/>
        <v>Canada</v>
      </c>
      <c r="W797" s="109">
        <f t="shared" si="760"/>
        <v>14.384992948285809</v>
      </c>
      <c r="X797" s="103">
        <f t="shared" si="761"/>
        <v>3.2519503546099289E-2</v>
      </c>
      <c r="Y797" s="122">
        <f t="shared" si="762"/>
        <v>0.62212529305926612</v>
      </c>
      <c r="Z797" s="123">
        <f t="shared" si="763"/>
        <v>0.12840917058122414</v>
      </c>
      <c r="AA797" s="123">
        <f t="shared" si="764"/>
        <v>7.988659287934137E-2</v>
      </c>
      <c r="AB797" s="124">
        <f t="shared" si="765"/>
        <v>1.9525177304964541E-2</v>
      </c>
    </row>
    <row r="798" spans="2:28" ht="15" thickBot="1" x14ac:dyDescent="0.35">
      <c r="B798" s="6" t="s">
        <v>9</v>
      </c>
      <c r="C798" s="7">
        <v>1848617</v>
      </c>
      <c r="D798" s="7">
        <v>327</v>
      </c>
      <c r="E798" s="7">
        <v>607323</v>
      </c>
      <c r="F798" s="7">
        <v>106542</v>
      </c>
      <c r="G798" s="7">
        <v>17962215</v>
      </c>
      <c r="H798" s="82">
        <f t="shared" si="750"/>
        <v>1134752</v>
      </c>
      <c r="I798" s="117"/>
      <c r="J798" s="117"/>
      <c r="K798" s="78">
        <f t="shared" si="748"/>
        <v>54930.321100917434</v>
      </c>
      <c r="L798" s="24">
        <f t="shared" si="749"/>
        <v>5653.2629969418958</v>
      </c>
      <c r="M798" s="31">
        <f>(H798-H784)/H784</f>
        <v>-3.5615246218318138E-2</v>
      </c>
      <c r="N798" s="33">
        <f t="shared" si="752"/>
        <v>0.1492467063100166</v>
      </c>
      <c r="O798" s="46">
        <f>F798/D798</f>
        <v>325.81651376146789</v>
      </c>
      <c r="P798" s="52">
        <f t="shared" si="754"/>
        <v>5.7633355097351152E-2</v>
      </c>
      <c r="Q798" s="54">
        <f t="shared" si="755"/>
        <v>3470.1896024464831</v>
      </c>
      <c r="R798" s="72">
        <f>G798/H798</f>
        <v>15.82919880291024</v>
      </c>
      <c r="S798" s="92">
        <f t="shared" si="757"/>
        <v>59.223241590214066</v>
      </c>
      <c r="T798" s="93">
        <f t="shared" si="758"/>
        <v>2.0045871559633026</v>
      </c>
      <c r="V798" s="108" t="str">
        <f t="shared" si="759"/>
        <v>USA</v>
      </c>
      <c r="W798" s="109">
        <f t="shared" si="760"/>
        <v>32.099319878850331</v>
      </c>
      <c r="X798" s="103">
        <f t="shared" si="761"/>
        <v>6.458168501646451E-2</v>
      </c>
      <c r="Y798" s="122">
        <f t="shared" si="762"/>
        <v>0.38616165490201593</v>
      </c>
      <c r="Z798" s="123">
        <f t="shared" si="763"/>
        <v>0.1492467063100166</v>
      </c>
      <c r="AA798" s="123">
        <f t="shared" si="764"/>
        <v>5.7633355097351152E-2</v>
      </c>
      <c r="AB798" s="124">
        <f t="shared" si="765"/>
        <v>5.2157570127921167E-2</v>
      </c>
    </row>
    <row r="799" spans="2:28" ht="15" thickBot="1" x14ac:dyDescent="0.35"/>
    <row r="800" spans="2:28" ht="58.2" thickBot="1" x14ac:dyDescent="0.35">
      <c r="B800" s="96">
        <v>37408</v>
      </c>
      <c r="C800" s="18" t="s">
        <v>8</v>
      </c>
      <c r="D800" s="19" t="s">
        <v>17</v>
      </c>
      <c r="E800" s="19" t="s">
        <v>15</v>
      </c>
      <c r="F800" s="19" t="s">
        <v>16</v>
      </c>
      <c r="G800" s="19" t="s">
        <v>14</v>
      </c>
      <c r="H800" s="20" t="s">
        <v>38</v>
      </c>
      <c r="I800" s="116"/>
      <c r="J800" s="116"/>
      <c r="K800" s="19" t="s">
        <v>21</v>
      </c>
      <c r="L800" s="19" t="s">
        <v>20</v>
      </c>
      <c r="M800" s="19" t="s">
        <v>40</v>
      </c>
      <c r="N800" s="19" t="s">
        <v>32</v>
      </c>
      <c r="O800" s="19" t="s">
        <v>22</v>
      </c>
      <c r="P800" s="51" t="s">
        <v>34</v>
      </c>
      <c r="Q800" s="20" t="s">
        <v>35</v>
      </c>
      <c r="R800" s="63" t="s">
        <v>39</v>
      </c>
      <c r="S800" s="91" t="s">
        <v>43</v>
      </c>
      <c r="T800" s="91" t="s">
        <v>44</v>
      </c>
      <c r="V800" s="104" t="s">
        <v>48</v>
      </c>
      <c r="W800" s="105" t="s">
        <v>49</v>
      </c>
      <c r="X800" s="106" t="s">
        <v>50</v>
      </c>
      <c r="Y800" s="61" t="s">
        <v>52</v>
      </c>
      <c r="Z800" s="61" t="s">
        <v>55</v>
      </c>
      <c r="AA800" s="61" t="s">
        <v>56</v>
      </c>
      <c r="AB800" s="61" t="s">
        <v>54</v>
      </c>
    </row>
    <row r="801" spans="2:28" x14ac:dyDescent="0.3">
      <c r="B801" s="3" t="s">
        <v>0</v>
      </c>
      <c r="C801" s="1">
        <v>28709</v>
      </c>
      <c r="D801" s="14">
        <v>14.45</v>
      </c>
      <c r="E801" s="1">
        <v>22484</v>
      </c>
      <c r="F801" s="1">
        <v>2293</v>
      </c>
      <c r="G801" s="1">
        <v>747964</v>
      </c>
      <c r="H801" s="118">
        <f>C801-E801-F801</f>
        <v>3932</v>
      </c>
      <c r="I801" s="117"/>
      <c r="J801" s="117"/>
      <c r="K801" s="114">
        <f t="shared" ref="K801:K812" si="766">G801/D801</f>
        <v>51762.214532871978</v>
      </c>
      <c r="L801" s="21">
        <f t="shared" ref="L801:L812" si="767">C801/D801</f>
        <v>1986.7820069204154</v>
      </c>
      <c r="M801" s="31">
        <f>(H801-H787)/H787</f>
        <v>2.5560772039645279E-2</v>
      </c>
      <c r="N801" s="31">
        <f>F801/(E801+F801)</f>
        <v>9.254550591274166E-2</v>
      </c>
      <c r="O801" s="43">
        <f>F801/D801</f>
        <v>158.68512110726644</v>
      </c>
      <c r="P801" s="49">
        <f>F801/C801</f>
        <v>7.9870423908878746E-2</v>
      </c>
      <c r="Q801" s="47">
        <f>(C801-E801-F801)/D801</f>
        <v>272.11072664359864</v>
      </c>
      <c r="R801" s="66">
        <f>G801/H801</f>
        <v>190.22482197355035</v>
      </c>
      <c r="S801" s="92">
        <f>(C801-C787)/D801</f>
        <v>30.865051903114189</v>
      </c>
      <c r="T801" s="93">
        <f>(F801-F787)/D801</f>
        <v>1.1764705882352942</v>
      </c>
      <c r="V801" s="101" t="str">
        <f>B801</f>
        <v>ON</v>
      </c>
      <c r="W801" s="102">
        <f>L801/180+IFERROR((D801*C801*13)/(F801*F801),500)</f>
        <v>12.063379704962681</v>
      </c>
      <c r="X801" s="103">
        <f>L801/75000*K$811/K801</f>
        <v>2.4602353751352463E-2</v>
      </c>
      <c r="Y801" s="122">
        <f>(E801+F801)/C801</f>
        <v>0.86303946497613993</v>
      </c>
      <c r="Z801" s="123">
        <f>N801</f>
        <v>9.254550591274166E-2</v>
      </c>
      <c r="AA801" s="123">
        <f>P801</f>
        <v>7.9870423908878746E-2</v>
      </c>
      <c r="AB801" s="124">
        <f>X437</f>
        <v>1.7432673462640005E-2</v>
      </c>
    </row>
    <row r="802" spans="2:28" x14ac:dyDescent="0.3">
      <c r="B802" s="5" t="s">
        <v>1</v>
      </c>
      <c r="C802" s="1">
        <v>51593</v>
      </c>
      <c r="D802" s="14">
        <v>8.43</v>
      </c>
      <c r="E802" s="1">
        <v>16803</v>
      </c>
      <c r="F802" s="1">
        <v>4713</v>
      </c>
      <c r="G802" s="1">
        <f>434940+13636+9458</f>
        <v>458034</v>
      </c>
      <c r="H802" s="118">
        <f t="shared" ref="H802:H812" si="768">C802-E802-F802</f>
        <v>30077</v>
      </c>
      <c r="I802" s="117"/>
      <c r="J802" s="117"/>
      <c r="K802" s="114">
        <f t="shared" si="766"/>
        <v>54333.807829181496</v>
      </c>
      <c r="L802" s="21">
        <f t="shared" si="767"/>
        <v>6120.1660735468568</v>
      </c>
      <c r="M802" s="31">
        <f t="shared" ref="M802:M808" si="769">(H802-H788)/H788</f>
        <v>-6.3131313131313137E-4</v>
      </c>
      <c r="N802" s="31">
        <f t="shared" ref="N802:N812" si="770">F802/(E802+F802)</f>
        <v>0.21904629113218071</v>
      </c>
      <c r="O802" s="43">
        <f t="shared" ref="O802:O810" si="771">F802/D802</f>
        <v>559.07473309608542</v>
      </c>
      <c r="P802" s="49">
        <f t="shared" ref="P802:P812" si="772">F802/C802</f>
        <v>9.1349601690151772E-2</v>
      </c>
      <c r="Q802" s="47">
        <f t="shared" ref="Q802:Q812" si="773">(C802-E802-F802)/D802</f>
        <v>3567.8529062870703</v>
      </c>
      <c r="R802" s="66">
        <f t="shared" ref="R802:R807" si="774">G802/H802</f>
        <v>15.228712970043555</v>
      </c>
      <c r="S802" s="92">
        <f t="shared" ref="S802:S812" si="775">(C802-C788)/D802</f>
        <v>28.351126927639385</v>
      </c>
      <c r="T802" s="93">
        <f t="shared" ref="T802:T812" si="776">(F802-F788)/D802</f>
        <v>6.1684460260972722</v>
      </c>
      <c r="V802" s="98" t="str">
        <f t="shared" ref="V802:V812" si="777">B802</f>
        <v>QC</v>
      </c>
      <c r="W802" s="102">
        <f t="shared" ref="W802:W812" si="778">L802/180+IFERROR((D802*C802*13)/(F802*F802),500)</f>
        <v>34.255468954533079</v>
      </c>
      <c r="X802" s="103">
        <f t="shared" ref="X802:X812" si="779">L802/75000*K$811/K802</f>
        <v>7.2199194731339747E-2</v>
      </c>
      <c r="Y802" s="122">
        <f t="shared" ref="Y802:Y812" si="780">(E802+F802)/C802</f>
        <v>0.41703331847343633</v>
      </c>
      <c r="Z802" s="123">
        <f t="shared" ref="Z802:Z812" si="781">N802</f>
        <v>0.21904629113218071</v>
      </c>
      <c r="AA802" s="123">
        <f t="shared" ref="AA802:AA812" si="782">P802</f>
        <v>9.1349601690151772E-2</v>
      </c>
      <c r="AB802" s="124">
        <f t="shared" ref="AB802:AB812" si="783">X438</f>
        <v>4.252159551156795E-2</v>
      </c>
    </row>
    <row r="803" spans="2:28" x14ac:dyDescent="0.3">
      <c r="B803" s="5" t="s">
        <v>2</v>
      </c>
      <c r="C803" s="1">
        <v>2601</v>
      </c>
      <c r="D803" s="14">
        <v>5.0199999999999996</v>
      </c>
      <c r="E803" s="1">
        <v>2229</v>
      </c>
      <c r="F803" s="1">
        <v>165</v>
      </c>
      <c r="G803" s="95">
        <v>147757</v>
      </c>
      <c r="H803" s="118">
        <f t="shared" si="768"/>
        <v>207</v>
      </c>
      <c r="I803" s="117"/>
      <c r="J803" s="117"/>
      <c r="K803" s="114">
        <f t="shared" si="766"/>
        <v>29433.66533864542</v>
      </c>
      <c r="L803" s="21">
        <f t="shared" si="767"/>
        <v>518.12749003984072</v>
      </c>
      <c r="M803" s="31">
        <f t="shared" si="769"/>
        <v>-0.08</v>
      </c>
      <c r="N803" s="31">
        <f t="shared" si="770"/>
        <v>6.8922305764411024E-2</v>
      </c>
      <c r="O803" s="43">
        <f t="shared" si="771"/>
        <v>32.868525896414347</v>
      </c>
      <c r="P803" s="49">
        <f t="shared" si="772"/>
        <v>6.3437139561707032E-2</v>
      </c>
      <c r="Q803" s="47">
        <f t="shared" si="773"/>
        <v>41.235059760956176</v>
      </c>
      <c r="R803" s="66">
        <f t="shared" si="774"/>
        <v>713.80193236714979</v>
      </c>
      <c r="S803" s="92">
        <f t="shared" si="775"/>
        <v>0.79681274900398413</v>
      </c>
      <c r="T803" s="93">
        <f t="shared" si="776"/>
        <v>0</v>
      </c>
      <c r="V803" s="98" t="str">
        <f t="shared" si="777"/>
        <v>BC</v>
      </c>
      <c r="W803" s="102">
        <f t="shared" si="778"/>
        <v>9.1132430805702818</v>
      </c>
      <c r="X803" s="103">
        <f t="shared" si="779"/>
        <v>1.1283181557874136E-2</v>
      </c>
      <c r="Y803" s="122">
        <f t="shared" si="780"/>
        <v>0.92041522491349481</v>
      </c>
      <c r="Z803" s="123">
        <f t="shared" si="781"/>
        <v>6.8922305764411024E-2</v>
      </c>
      <c r="AA803" s="123">
        <f t="shared" si="782"/>
        <v>6.3437139561707032E-2</v>
      </c>
      <c r="AB803" s="124">
        <f t="shared" si="783"/>
        <v>7.6454056878360824E-3</v>
      </c>
    </row>
    <row r="804" spans="2:28" x14ac:dyDescent="0.3">
      <c r="B804" s="5" t="s">
        <v>3</v>
      </c>
      <c r="C804" s="1">
        <v>7057</v>
      </c>
      <c r="D804" s="14">
        <v>4.34</v>
      </c>
      <c r="E804" s="1">
        <v>6537</v>
      </c>
      <c r="F804" s="1">
        <v>143</v>
      </c>
      <c r="G804" s="1">
        <v>266301</v>
      </c>
      <c r="H804" s="118">
        <f t="shared" si="768"/>
        <v>377</v>
      </c>
      <c r="I804" s="117"/>
      <c r="J804" s="117"/>
      <c r="K804" s="114">
        <f t="shared" si="766"/>
        <v>61359.677419354841</v>
      </c>
      <c r="L804" s="21">
        <f t="shared" si="767"/>
        <v>1626.036866359447</v>
      </c>
      <c r="M804" s="31">
        <f t="shared" si="769"/>
        <v>-5.7500000000000002E-2</v>
      </c>
      <c r="N804" s="31">
        <f t="shared" si="770"/>
        <v>2.1407185628742515E-2</v>
      </c>
      <c r="O804" s="43">
        <f t="shared" si="771"/>
        <v>32.94930875576037</v>
      </c>
      <c r="P804" s="49">
        <f t="shared" si="772"/>
        <v>2.0263568088422841E-2</v>
      </c>
      <c r="Q804" s="47">
        <f t="shared" si="773"/>
        <v>86.866359447004612</v>
      </c>
      <c r="R804" s="66">
        <f t="shared" si="774"/>
        <v>706.36870026525196</v>
      </c>
      <c r="S804" s="92">
        <f t="shared" si="775"/>
        <v>2.9953917050691246</v>
      </c>
      <c r="T804" s="93">
        <f t="shared" si="776"/>
        <v>0</v>
      </c>
      <c r="V804" s="98" t="str">
        <f t="shared" si="777"/>
        <v>AL</v>
      </c>
      <c r="W804" s="102">
        <f t="shared" si="778"/>
        <v>28.504218375303417</v>
      </c>
      <c r="X804" s="103">
        <f t="shared" si="779"/>
        <v>1.6985823584526452E-2</v>
      </c>
      <c r="Y804" s="122">
        <f t="shared" si="780"/>
        <v>0.94657786594870341</v>
      </c>
      <c r="Z804" s="123">
        <f t="shared" si="781"/>
        <v>2.1407185628742515E-2</v>
      </c>
      <c r="AA804" s="123">
        <f t="shared" si="782"/>
        <v>2.0263568088422841E-2</v>
      </c>
      <c r="AB804" s="124">
        <f t="shared" si="783"/>
        <v>1.137641887758417E-2</v>
      </c>
    </row>
    <row r="805" spans="2:28" x14ac:dyDescent="0.3">
      <c r="B805" s="5" t="s">
        <v>4</v>
      </c>
      <c r="C805" s="1">
        <v>297</v>
      </c>
      <c r="D805" s="14">
        <v>1.36</v>
      </c>
      <c r="E805" s="1">
        <v>278</v>
      </c>
      <c r="F805" s="1">
        <v>7</v>
      </c>
      <c r="G805" s="1">
        <v>45099</v>
      </c>
      <c r="H805" s="118">
        <f t="shared" si="768"/>
        <v>12</v>
      </c>
      <c r="I805" s="117"/>
      <c r="J805" s="117"/>
      <c r="K805" s="114">
        <f t="shared" si="766"/>
        <v>33161.029411764706</v>
      </c>
      <c r="L805" s="21">
        <f t="shared" si="767"/>
        <v>218.38235294117646</v>
      </c>
      <c r="M805" s="31">
        <f t="shared" si="769"/>
        <v>0.2</v>
      </c>
      <c r="N805" s="31">
        <f t="shared" si="770"/>
        <v>2.456140350877193E-2</v>
      </c>
      <c r="O805" s="43">
        <f t="shared" si="771"/>
        <v>5.1470588235294112</v>
      </c>
      <c r="P805" s="49">
        <f t="shared" si="772"/>
        <v>2.3569023569023569E-2</v>
      </c>
      <c r="Q805" s="47">
        <f t="shared" si="773"/>
        <v>8.8235294117647047</v>
      </c>
      <c r="R805" s="66">
        <f t="shared" si="774"/>
        <v>3758.25</v>
      </c>
      <c r="S805" s="92">
        <f t="shared" si="775"/>
        <v>1.4705882352941175</v>
      </c>
      <c r="T805" s="93">
        <f t="shared" si="776"/>
        <v>0</v>
      </c>
      <c r="V805" s="98" t="str">
        <f t="shared" si="777"/>
        <v>MA</v>
      </c>
      <c r="W805" s="102">
        <f t="shared" si="778"/>
        <v>108.3756842737095</v>
      </c>
      <c r="X805" s="103">
        <f t="shared" si="779"/>
        <v>4.2211309586993716E-3</v>
      </c>
      <c r="Y805" s="122">
        <f t="shared" si="780"/>
        <v>0.95959595959595956</v>
      </c>
      <c r="Z805" s="123">
        <f t="shared" si="781"/>
        <v>2.456140350877193E-2</v>
      </c>
      <c r="AA805" s="123">
        <f t="shared" si="782"/>
        <v>2.3569023569023569E-2</v>
      </c>
      <c r="AB805" s="124">
        <f t="shared" si="783"/>
        <v>3.3815892281187014E-3</v>
      </c>
    </row>
    <row r="806" spans="2:28" x14ac:dyDescent="0.3">
      <c r="B806" s="5" t="s">
        <v>5</v>
      </c>
      <c r="C806" s="1">
        <v>646</v>
      </c>
      <c r="D806" s="14">
        <v>1.17</v>
      </c>
      <c r="E806" s="1">
        <v>602</v>
      </c>
      <c r="F806" s="1">
        <v>11</v>
      </c>
      <c r="G806" s="1">
        <v>48593</v>
      </c>
      <c r="H806" s="118">
        <f t="shared" si="768"/>
        <v>33</v>
      </c>
      <c r="I806" s="117"/>
      <c r="J806" s="117"/>
      <c r="K806" s="114">
        <f t="shared" si="766"/>
        <v>41532.478632478633</v>
      </c>
      <c r="L806" s="21">
        <f t="shared" si="767"/>
        <v>552.13675213675219</v>
      </c>
      <c r="M806" s="31">
        <f t="shared" si="769"/>
        <v>-0.2978723404255319</v>
      </c>
      <c r="N806" s="31">
        <f t="shared" si="770"/>
        <v>1.794453507340946E-2</v>
      </c>
      <c r="O806" s="43">
        <f t="shared" si="771"/>
        <v>9.4017094017094021</v>
      </c>
      <c r="P806" s="49">
        <f t="shared" si="772"/>
        <v>1.7027863777089782E-2</v>
      </c>
      <c r="Q806" s="47">
        <f t="shared" si="773"/>
        <v>28.205128205128208</v>
      </c>
      <c r="R806" s="66">
        <f t="shared" si="774"/>
        <v>1472.5151515151515</v>
      </c>
      <c r="S806" s="92">
        <f t="shared" si="775"/>
        <v>0</v>
      </c>
      <c r="T806" s="93">
        <f t="shared" si="776"/>
        <v>0</v>
      </c>
      <c r="V806" s="98" t="str">
        <f t="shared" si="777"/>
        <v>SA</v>
      </c>
      <c r="W806" s="102">
        <f t="shared" si="778"/>
        <v>84.271228053652294</v>
      </c>
      <c r="X806" s="103">
        <f t="shared" si="779"/>
        <v>8.5211477355770105E-3</v>
      </c>
      <c r="Y806" s="122">
        <f t="shared" si="780"/>
        <v>0.94891640866873062</v>
      </c>
      <c r="Z806" s="123">
        <f t="shared" si="781"/>
        <v>1.794453507340946E-2</v>
      </c>
      <c r="AA806" s="123">
        <f t="shared" si="782"/>
        <v>1.7027863777089782E-2</v>
      </c>
      <c r="AB806" s="124">
        <f t="shared" si="783"/>
        <v>4.3136734806496456E-3</v>
      </c>
    </row>
    <row r="807" spans="2:28" x14ac:dyDescent="0.3">
      <c r="B807" s="5" t="s">
        <v>6</v>
      </c>
      <c r="C807" s="1">
        <v>1057</v>
      </c>
      <c r="D807" s="14">
        <v>0.96499999999999997</v>
      </c>
      <c r="E807" s="1">
        <v>992</v>
      </c>
      <c r="F807" s="1">
        <v>60</v>
      </c>
      <c r="G807" s="1">
        <f>42861+C807</f>
        <v>43918</v>
      </c>
      <c r="H807" s="118">
        <f t="shared" si="768"/>
        <v>5</v>
      </c>
      <c r="I807" s="117"/>
      <c r="J807" s="117"/>
      <c r="K807" s="114">
        <f t="shared" si="766"/>
        <v>45510.880829015543</v>
      </c>
      <c r="L807" s="21">
        <f t="shared" si="767"/>
        <v>1095.3367875647668</v>
      </c>
      <c r="M807" s="31">
        <f t="shared" si="769"/>
        <v>-0.61538461538461542</v>
      </c>
      <c r="N807" s="31">
        <f t="shared" si="770"/>
        <v>5.7034220532319393E-2</v>
      </c>
      <c r="O807" s="43">
        <f t="shared" si="771"/>
        <v>62.176165803108809</v>
      </c>
      <c r="P807" s="49">
        <f t="shared" si="772"/>
        <v>5.6764427625354781E-2</v>
      </c>
      <c r="Q807" s="47">
        <f t="shared" si="773"/>
        <v>5.1813471502590671</v>
      </c>
      <c r="R807" s="66">
        <f t="shared" si="774"/>
        <v>8783.6</v>
      </c>
      <c r="S807" s="92">
        <f t="shared" si="775"/>
        <v>0</v>
      </c>
      <c r="T807" s="93">
        <f t="shared" si="776"/>
        <v>0</v>
      </c>
      <c r="V807" s="98" t="str">
        <f t="shared" si="777"/>
        <v>NS</v>
      </c>
      <c r="W807" s="102">
        <f t="shared" si="778"/>
        <v>9.7685557642487062</v>
      </c>
      <c r="X807" s="103">
        <f t="shared" si="779"/>
        <v>1.5426653395641589E-2</v>
      </c>
      <c r="Y807" s="122">
        <f t="shared" si="780"/>
        <v>0.99526963103122046</v>
      </c>
      <c r="Z807" s="123">
        <f t="shared" si="781"/>
        <v>5.7034220532319393E-2</v>
      </c>
      <c r="AA807" s="123">
        <f t="shared" si="782"/>
        <v>5.6764427625354781E-2</v>
      </c>
      <c r="AB807" s="124">
        <f t="shared" si="783"/>
        <v>1.0021800261044473E-2</v>
      </c>
    </row>
    <row r="808" spans="2:28" x14ac:dyDescent="0.3">
      <c r="B808" s="5" t="s">
        <v>7</v>
      </c>
      <c r="C808" s="1">
        <v>133</v>
      </c>
      <c r="D808" s="14">
        <v>0.77200000000000002</v>
      </c>
      <c r="E808" s="1">
        <v>120</v>
      </c>
      <c r="F808" s="1">
        <v>0</v>
      </c>
      <c r="G808" s="1">
        <v>30666</v>
      </c>
      <c r="H808" s="118">
        <f t="shared" si="768"/>
        <v>13</v>
      </c>
      <c r="I808" s="117"/>
      <c r="J808" s="117"/>
      <c r="K808" s="114">
        <f t="shared" si="766"/>
        <v>39722.797927461135</v>
      </c>
      <c r="L808" s="21">
        <f t="shared" si="767"/>
        <v>172.279792746114</v>
      </c>
      <c r="M808" s="31">
        <f t="shared" si="769"/>
        <v>8.3333333333333329E-2</v>
      </c>
      <c r="N808" s="31">
        <f t="shared" si="770"/>
        <v>0</v>
      </c>
      <c r="O808" s="43">
        <f t="shared" si="771"/>
        <v>0</v>
      </c>
      <c r="P808" s="49">
        <f t="shared" si="772"/>
        <v>0</v>
      </c>
      <c r="Q808" s="47">
        <f t="shared" si="773"/>
        <v>16.839378238341968</v>
      </c>
      <c r="R808" s="66">
        <f>IFERROR(G808/H808,20000)</f>
        <v>2358.9230769230771</v>
      </c>
      <c r="S808" s="92">
        <f t="shared" si="775"/>
        <v>1.2953367875647668</v>
      </c>
      <c r="T808" s="93">
        <f t="shared" si="776"/>
        <v>0</v>
      </c>
      <c r="V808" s="98" t="str">
        <f t="shared" si="777"/>
        <v>NB</v>
      </c>
      <c r="W808" s="102">
        <f t="shared" si="778"/>
        <v>500.95710995970063</v>
      </c>
      <c r="X808" s="103">
        <f t="shared" si="779"/>
        <v>2.7799296053151951E-3</v>
      </c>
      <c r="Y808" s="122">
        <f t="shared" si="780"/>
        <v>0.90225563909774431</v>
      </c>
      <c r="Z808" s="123">
        <f t="shared" si="781"/>
        <v>0</v>
      </c>
      <c r="AA808" s="123">
        <f t="shared" si="782"/>
        <v>0</v>
      </c>
      <c r="AB808" s="124">
        <f t="shared" si="783"/>
        <v>2.4766501442648708E-3</v>
      </c>
    </row>
    <row r="809" spans="2:28" x14ac:dyDescent="0.3">
      <c r="B809" s="5" t="s">
        <v>18</v>
      </c>
      <c r="C809" s="9">
        <v>27</v>
      </c>
      <c r="D809" s="15">
        <v>0.154</v>
      </c>
      <c r="E809" s="9">
        <v>27</v>
      </c>
      <c r="F809" s="9">
        <v>0</v>
      </c>
      <c r="G809" s="9">
        <v>6767</v>
      </c>
      <c r="H809" s="118">
        <f t="shared" si="768"/>
        <v>0</v>
      </c>
      <c r="I809" s="117"/>
      <c r="J809" s="117"/>
      <c r="K809" s="115">
        <f t="shared" si="766"/>
        <v>43941.558441558445</v>
      </c>
      <c r="L809" s="22">
        <f t="shared" si="767"/>
        <v>175.32467532467533</v>
      </c>
      <c r="M809" s="31">
        <v>0</v>
      </c>
      <c r="N809" s="31">
        <f t="shared" si="770"/>
        <v>0</v>
      </c>
      <c r="O809" s="44">
        <f t="shared" si="771"/>
        <v>0</v>
      </c>
      <c r="P809" s="49">
        <f t="shared" si="772"/>
        <v>0</v>
      </c>
      <c r="Q809" s="47">
        <f t="shared" si="773"/>
        <v>0</v>
      </c>
      <c r="R809" s="66">
        <f>IFERROR(G809/H809,20000)</f>
        <v>20000</v>
      </c>
      <c r="S809" s="92">
        <f t="shared" si="775"/>
        <v>0</v>
      </c>
      <c r="T809" s="93">
        <f t="shared" si="776"/>
        <v>0</v>
      </c>
      <c r="V809" s="98" t="str">
        <f t="shared" si="777"/>
        <v>PEI</v>
      </c>
      <c r="W809" s="102">
        <f t="shared" si="778"/>
        <v>500.97402597402595</v>
      </c>
      <c r="X809" s="103">
        <f t="shared" si="779"/>
        <v>2.5574483805954427E-3</v>
      </c>
      <c r="Y809" s="122">
        <f t="shared" si="780"/>
        <v>1</v>
      </c>
      <c r="Z809" s="123">
        <f t="shared" si="781"/>
        <v>0</v>
      </c>
      <c r="AA809" s="123">
        <f t="shared" si="782"/>
        <v>0</v>
      </c>
      <c r="AB809" s="124">
        <f t="shared" si="783"/>
        <v>2.7306352340425531E-3</v>
      </c>
    </row>
    <row r="810" spans="2:28" ht="15" thickBot="1" x14ac:dyDescent="0.35">
      <c r="B810" s="5" t="s">
        <v>11</v>
      </c>
      <c r="C810" s="9">
        <v>261</v>
      </c>
      <c r="D810" s="15">
        <v>0.52400000000000002</v>
      </c>
      <c r="E810" s="9">
        <v>256</v>
      </c>
      <c r="F810" s="9">
        <v>3</v>
      </c>
      <c r="G810" s="9">
        <v>12443</v>
      </c>
      <c r="H810" s="119">
        <f t="shared" si="768"/>
        <v>2</v>
      </c>
      <c r="I810" s="117"/>
      <c r="J810" s="117"/>
      <c r="K810" s="115">
        <f t="shared" si="766"/>
        <v>23746.183206106871</v>
      </c>
      <c r="L810" s="22">
        <f t="shared" si="767"/>
        <v>498.09160305343511</v>
      </c>
      <c r="M810" s="31">
        <f>(H810-H796)/H796</f>
        <v>-0.33333333333333331</v>
      </c>
      <c r="N810" s="32">
        <f t="shared" si="770"/>
        <v>1.1583011583011582E-2</v>
      </c>
      <c r="O810" s="44">
        <f t="shared" si="771"/>
        <v>5.7251908396946565</v>
      </c>
      <c r="P810" s="50">
        <f t="shared" si="772"/>
        <v>1.1494252873563218E-2</v>
      </c>
      <c r="Q810" s="48">
        <f t="shared" si="773"/>
        <v>3.8167938931297707</v>
      </c>
      <c r="R810" s="67">
        <f>G810/H810</f>
        <v>6221.5</v>
      </c>
      <c r="S810" s="92">
        <f t="shared" si="775"/>
        <v>0</v>
      </c>
      <c r="T810" s="93">
        <f t="shared" si="776"/>
        <v>0</v>
      </c>
      <c r="V810" s="99" t="str">
        <f t="shared" si="777"/>
        <v>NFLD</v>
      </c>
      <c r="W810" s="120">
        <f t="shared" si="778"/>
        <v>200.31517557251911</v>
      </c>
      <c r="X810" s="103">
        <f t="shared" si="779"/>
        <v>1.3444810805357536E-2</v>
      </c>
      <c r="Y810" s="122">
        <f t="shared" si="780"/>
        <v>0.9923371647509579</v>
      </c>
      <c r="Z810" s="123">
        <f t="shared" si="781"/>
        <v>1.1583011583011582E-2</v>
      </c>
      <c r="AA810" s="123">
        <f t="shared" si="782"/>
        <v>1.1494252873563218E-2</v>
      </c>
      <c r="AB810" s="124">
        <f t="shared" si="783"/>
        <v>9.391446520461269E-3</v>
      </c>
    </row>
    <row r="811" spans="2:28" ht="15" thickBot="1" x14ac:dyDescent="0.35">
      <c r="B811" s="11" t="s">
        <v>10</v>
      </c>
      <c r="C811" s="12">
        <v>92410</v>
      </c>
      <c r="D811" s="16">
        <v>37.6</v>
      </c>
      <c r="E811" s="12">
        <v>50357</v>
      </c>
      <c r="F811" s="12">
        <v>7395</v>
      </c>
      <c r="G811" s="12">
        <f>SUM(G801:G810)</f>
        <v>1807542</v>
      </c>
      <c r="H811" s="81">
        <f t="shared" si="768"/>
        <v>34658</v>
      </c>
      <c r="I811" s="117"/>
      <c r="J811" s="117"/>
      <c r="K811" s="77">
        <f t="shared" si="766"/>
        <v>48072.925531914894</v>
      </c>
      <c r="L811" s="23">
        <f t="shared" si="767"/>
        <v>2457.7127659574467</v>
      </c>
      <c r="M811" s="31">
        <f>(H811-H797)/H797</f>
        <v>1.4428765186275358E-4</v>
      </c>
      <c r="N811" s="33">
        <f t="shared" si="770"/>
        <v>0.12804751350602578</v>
      </c>
      <c r="O811" s="45">
        <f>F811/D811</f>
        <v>196.67553191489361</v>
      </c>
      <c r="P811" s="53">
        <f t="shared" si="772"/>
        <v>8.0023806947300075E-2</v>
      </c>
      <c r="Q811" s="55">
        <f t="shared" si="773"/>
        <v>921.75531914893611</v>
      </c>
      <c r="R811" s="74">
        <f>G811/H811</f>
        <v>52.153673033643024</v>
      </c>
      <c r="S811" s="92">
        <f t="shared" si="775"/>
        <v>18.75</v>
      </c>
      <c r="T811" s="93">
        <f t="shared" si="776"/>
        <v>1.8351063829787233</v>
      </c>
      <c r="V811" s="108" t="str">
        <f t="shared" si="777"/>
        <v>Canada</v>
      </c>
      <c r="W811" s="109">
        <f t="shared" si="778"/>
        <v>14.479947949526213</v>
      </c>
      <c r="X811" s="103">
        <f t="shared" si="779"/>
        <v>3.2769503546099289E-2</v>
      </c>
      <c r="Y811" s="122">
        <f t="shared" si="780"/>
        <v>0.62495400930635214</v>
      </c>
      <c r="Z811" s="123">
        <f t="shared" si="781"/>
        <v>0.12804751350602578</v>
      </c>
      <c r="AA811" s="123">
        <f t="shared" si="782"/>
        <v>8.0023806947300075E-2</v>
      </c>
      <c r="AB811" s="124">
        <f t="shared" si="783"/>
        <v>2.0111347517730496E-2</v>
      </c>
    </row>
    <row r="812" spans="2:28" ht="15" thickBot="1" x14ac:dyDescent="0.35">
      <c r="B812" s="6" t="s">
        <v>9</v>
      </c>
      <c r="C812" s="7">
        <v>1873009</v>
      </c>
      <c r="D812" s="7">
        <v>327</v>
      </c>
      <c r="E812" s="7">
        <v>618867</v>
      </c>
      <c r="F812" s="7">
        <v>107783</v>
      </c>
      <c r="G812" s="7">
        <v>18399716</v>
      </c>
      <c r="H812" s="82">
        <f t="shared" si="768"/>
        <v>1146359</v>
      </c>
      <c r="I812" s="117"/>
      <c r="J812" s="117"/>
      <c r="K812" s="78">
        <f t="shared" si="766"/>
        <v>56268.244648318039</v>
      </c>
      <c r="L812" s="24">
        <f t="shared" si="767"/>
        <v>5727.8562691131501</v>
      </c>
      <c r="M812" s="31">
        <f>(H812-H798)/H798</f>
        <v>1.022866670426666E-2</v>
      </c>
      <c r="N812" s="33">
        <f t="shared" si="770"/>
        <v>0.14832863139062821</v>
      </c>
      <c r="O812" s="46">
        <f>F812/D812</f>
        <v>329.61162079510706</v>
      </c>
      <c r="P812" s="52">
        <f t="shared" si="772"/>
        <v>5.754537217920469E-2</v>
      </c>
      <c r="Q812" s="54">
        <f t="shared" si="773"/>
        <v>3505.6850152905199</v>
      </c>
      <c r="R812" s="72">
        <f>G812/H812</f>
        <v>16.050570545527187</v>
      </c>
      <c r="S812" s="92">
        <f t="shared" si="775"/>
        <v>74.59327217125383</v>
      </c>
      <c r="T812" s="93">
        <f t="shared" si="776"/>
        <v>3.7951070336391437</v>
      </c>
      <c r="V812" s="108" t="str">
        <f t="shared" si="777"/>
        <v>USA</v>
      </c>
      <c r="W812" s="109">
        <f t="shared" si="778"/>
        <v>32.506802150348179</v>
      </c>
      <c r="X812" s="103">
        <f t="shared" si="779"/>
        <v>6.5248124610623626E-2</v>
      </c>
      <c r="Y812" s="122">
        <f t="shared" si="780"/>
        <v>0.38795862700072448</v>
      </c>
      <c r="Z812" s="123">
        <f t="shared" si="781"/>
        <v>0.14832863139062821</v>
      </c>
      <c r="AA812" s="123">
        <f t="shared" si="782"/>
        <v>5.754537217920469E-2</v>
      </c>
      <c r="AB812" s="124">
        <f t="shared" si="783"/>
        <v>5.2868407587598691E-2</v>
      </c>
    </row>
    <row r="813" spans="2:28" ht="15" thickBot="1" x14ac:dyDescent="0.35"/>
    <row r="814" spans="2:28" ht="58.2" thickBot="1" x14ac:dyDescent="0.35">
      <c r="B814" s="96">
        <v>37773</v>
      </c>
      <c r="C814" s="18" t="s">
        <v>8</v>
      </c>
      <c r="D814" s="19" t="s">
        <v>17</v>
      </c>
      <c r="E814" s="19" t="s">
        <v>15</v>
      </c>
      <c r="F814" s="19" t="s">
        <v>16</v>
      </c>
      <c r="G814" s="19" t="s">
        <v>14</v>
      </c>
      <c r="H814" s="20" t="s">
        <v>38</v>
      </c>
      <c r="I814" s="116"/>
      <c r="J814" s="116"/>
      <c r="K814" s="19" t="s">
        <v>21</v>
      </c>
      <c r="L814" s="19" t="s">
        <v>20</v>
      </c>
      <c r="M814" s="19" t="s">
        <v>40</v>
      </c>
      <c r="N814" s="19" t="s">
        <v>32</v>
      </c>
      <c r="O814" s="19" t="s">
        <v>22</v>
      </c>
      <c r="P814" s="51" t="s">
        <v>34</v>
      </c>
      <c r="Q814" s="20" t="s">
        <v>35</v>
      </c>
      <c r="R814" s="63" t="s">
        <v>39</v>
      </c>
      <c r="S814" s="91" t="s">
        <v>43</v>
      </c>
      <c r="T814" s="91" t="s">
        <v>44</v>
      </c>
      <c r="V814" s="104" t="s">
        <v>48</v>
      </c>
      <c r="W814" s="105" t="s">
        <v>49</v>
      </c>
      <c r="X814" s="106" t="s">
        <v>50</v>
      </c>
      <c r="Y814" s="61" t="s">
        <v>52</v>
      </c>
      <c r="Z814" s="61" t="s">
        <v>55</v>
      </c>
      <c r="AA814" s="61" t="s">
        <v>56</v>
      </c>
      <c r="AB814" s="61" t="s">
        <v>54</v>
      </c>
    </row>
    <row r="815" spans="2:28" x14ac:dyDescent="0.3">
      <c r="B815" s="3" t="s">
        <v>0</v>
      </c>
      <c r="C815" s="1">
        <v>29047</v>
      </c>
      <c r="D815" s="14">
        <v>14.45</v>
      </c>
      <c r="E815" s="1">
        <v>22811</v>
      </c>
      <c r="F815" s="1">
        <v>2312</v>
      </c>
      <c r="G815" s="1">
        <v>765501</v>
      </c>
      <c r="H815" s="118">
        <f>C815-E815-F815</f>
        <v>3924</v>
      </c>
      <c r="I815" s="117"/>
      <c r="J815" s="117"/>
      <c r="K815" s="114">
        <f t="shared" ref="K815:K826" si="784">G815/D815</f>
        <v>52975.847750865054</v>
      </c>
      <c r="L815" s="21">
        <f t="shared" ref="L815:L826" si="785">C815/D815</f>
        <v>2010.1730103806228</v>
      </c>
      <c r="M815" s="31">
        <f>(H815-H801)/H801</f>
        <v>-2.0345879959308239E-3</v>
      </c>
      <c r="N815" s="31">
        <f>F815/(E815+F815)</f>
        <v>9.2027226047844607E-2</v>
      </c>
      <c r="O815" s="43">
        <f>F815/D815</f>
        <v>160</v>
      </c>
      <c r="P815" s="49">
        <f>F815/C815</f>
        <v>7.9595138912796501E-2</v>
      </c>
      <c r="Q815" s="47">
        <f>(C815-E815-F815)/D815</f>
        <v>271.55709342560556</v>
      </c>
      <c r="R815" s="66">
        <f>G815/H815</f>
        <v>195.08180428134557</v>
      </c>
      <c r="S815" s="92">
        <f>(C815-C801)/D815</f>
        <v>23.391003460207614</v>
      </c>
      <c r="T815" s="93">
        <f>(F815-F801)/D815</f>
        <v>1.3148788927335642</v>
      </c>
      <c r="V815" s="101" t="str">
        <f>B815</f>
        <v>ON</v>
      </c>
      <c r="W815" s="102">
        <f>L815/180+IFERROR((D815*C815*13)/(F815*F815),500)</f>
        <v>12.188418817281814</v>
      </c>
      <c r="X815" s="103">
        <f>L815/75000*K$825/K815</f>
        <v>2.4820888838284656E-2</v>
      </c>
      <c r="Y815" s="122">
        <f>(E815+F815)/C815</f>
        <v>0.86490859641271045</v>
      </c>
      <c r="Z815" s="123">
        <f>N815</f>
        <v>9.2027226047844607E-2</v>
      </c>
      <c r="AA815" s="123">
        <f>P815</f>
        <v>7.9595138912796501E-2</v>
      </c>
      <c r="AB815" s="124">
        <f>X451</f>
        <v>1.7801293474082561E-2</v>
      </c>
    </row>
    <row r="816" spans="2:28" x14ac:dyDescent="0.3">
      <c r="B816" s="5" t="s">
        <v>1</v>
      </c>
      <c r="C816" s="1">
        <v>51884</v>
      </c>
      <c r="D816" s="14">
        <v>8.43</v>
      </c>
      <c r="E816" s="1">
        <v>17098</v>
      </c>
      <c r="F816" s="1">
        <v>4794</v>
      </c>
      <c r="G816" s="1">
        <f>434940+13636+9458+9646</f>
        <v>467680</v>
      </c>
      <c r="H816" s="118">
        <f t="shared" ref="H816:H826" si="786">C816-E816-F816</f>
        <v>29992</v>
      </c>
      <c r="I816" s="117"/>
      <c r="J816" s="117"/>
      <c r="K816" s="114">
        <f t="shared" si="784"/>
        <v>55478.05456702254</v>
      </c>
      <c r="L816" s="21">
        <f t="shared" si="785"/>
        <v>6154.6856465005931</v>
      </c>
      <c r="M816" s="31">
        <f t="shared" ref="M816:M822" si="787">(H816-H802)/H802</f>
        <v>-2.8260797286963459E-3</v>
      </c>
      <c r="N816" s="31">
        <f t="shared" ref="N816:N826" si="788">F816/(E816+F816)</f>
        <v>0.21898410378220354</v>
      </c>
      <c r="O816" s="43">
        <f t="shared" ref="O816:O824" si="789">F816/D816</f>
        <v>568.6832740213523</v>
      </c>
      <c r="P816" s="49">
        <f t="shared" ref="P816:P826" si="790">F816/C816</f>
        <v>9.2398427260812585E-2</v>
      </c>
      <c r="Q816" s="47">
        <f t="shared" ref="Q816:Q826" si="791">(C816-E816-F816)/D816</f>
        <v>3557.7698695136419</v>
      </c>
      <c r="R816" s="66">
        <f t="shared" ref="R816:R821" si="792">G816/H816</f>
        <v>15.593491597759403</v>
      </c>
      <c r="S816" s="92">
        <f t="shared" ref="S816:S826" si="793">(C816-C802)/D816</f>
        <v>34.519572953736656</v>
      </c>
      <c r="T816" s="93">
        <f t="shared" ref="T816:T826" si="794">(F816-F802)/D816</f>
        <v>9.6085409252669045</v>
      </c>
      <c r="V816" s="98" t="str">
        <f t="shared" ref="V816:V826" si="795">B816</f>
        <v>QC</v>
      </c>
      <c r="W816" s="102">
        <f t="shared" ref="W816:W826" si="796">L816/180+IFERROR((D816*C816*13)/(F816*F816),500)</f>
        <v>34.440102948282984</v>
      </c>
      <c r="X816" s="103">
        <f t="shared" ref="X816:X826" si="797">L816/75000*K$825/K816</f>
        <v>7.2568218212489349E-2</v>
      </c>
      <c r="Y816" s="122">
        <f t="shared" ref="Y816:Y826" si="798">(E816+F816)/C816</f>
        <v>0.42194125356564643</v>
      </c>
      <c r="Z816" s="123">
        <f t="shared" ref="Z816:Z826" si="799">N816</f>
        <v>0.21898410378220354</v>
      </c>
      <c r="AA816" s="123">
        <f t="shared" ref="AA816:AA826" si="800">P816</f>
        <v>9.2398427260812585E-2</v>
      </c>
      <c r="AB816" s="124">
        <f t="shared" ref="AB816:AB826" si="801">X452</f>
        <v>4.7036857883241086E-2</v>
      </c>
    </row>
    <row r="817" spans="2:28" x14ac:dyDescent="0.3">
      <c r="B817" s="5" t="s">
        <v>2</v>
      </c>
      <c r="C817" s="1">
        <v>2623</v>
      </c>
      <c r="D817" s="14">
        <v>5.0199999999999996</v>
      </c>
      <c r="E817" s="1">
        <v>2243</v>
      </c>
      <c r="F817" s="1">
        <v>166</v>
      </c>
      <c r="G817" s="95">
        <v>149477</v>
      </c>
      <c r="H817" s="118">
        <f t="shared" si="786"/>
        <v>214</v>
      </c>
      <c r="I817" s="117"/>
      <c r="J817" s="117"/>
      <c r="K817" s="114">
        <f t="shared" si="784"/>
        <v>29776.294820717136</v>
      </c>
      <c r="L817" s="21">
        <f t="shared" si="785"/>
        <v>522.50996015936255</v>
      </c>
      <c r="M817" s="31">
        <f t="shared" si="787"/>
        <v>3.3816425120772944E-2</v>
      </c>
      <c r="N817" s="31">
        <f t="shared" si="788"/>
        <v>6.8908260689082609E-2</v>
      </c>
      <c r="O817" s="43">
        <f t="shared" si="789"/>
        <v>33.067729083665341</v>
      </c>
      <c r="P817" s="49">
        <f t="shared" si="790"/>
        <v>6.328631338162409E-2</v>
      </c>
      <c r="Q817" s="47">
        <f t="shared" si="791"/>
        <v>42.629482071713149</v>
      </c>
      <c r="R817" s="66">
        <f t="shared" si="792"/>
        <v>698.49065420560748</v>
      </c>
      <c r="S817" s="92">
        <f t="shared" si="793"/>
        <v>4.3824701195219129</v>
      </c>
      <c r="T817" s="93">
        <f t="shared" si="794"/>
        <v>0.19920318725099603</v>
      </c>
      <c r="V817" s="98" t="str">
        <f t="shared" si="795"/>
        <v>BC</v>
      </c>
      <c r="W817" s="102">
        <f t="shared" si="796"/>
        <v>9.1148007415508197</v>
      </c>
      <c r="X817" s="103">
        <f t="shared" si="797"/>
        <v>1.1478515494947703E-2</v>
      </c>
      <c r="Y817" s="122">
        <f t="shared" si="798"/>
        <v>0.91841402973694242</v>
      </c>
      <c r="Z817" s="123">
        <f t="shared" si="799"/>
        <v>6.8908260689082609E-2</v>
      </c>
      <c r="AA817" s="123">
        <f t="shared" si="800"/>
        <v>6.328631338162409E-2</v>
      </c>
      <c r="AB817" s="124">
        <f t="shared" si="801"/>
        <v>7.8284199520357884E-3</v>
      </c>
    </row>
    <row r="818" spans="2:28" x14ac:dyDescent="0.3">
      <c r="B818" s="5" t="s">
        <v>3</v>
      </c>
      <c r="C818" s="1">
        <v>7076</v>
      </c>
      <c r="D818" s="14">
        <v>4.34</v>
      </c>
      <c r="E818" s="1">
        <v>6587</v>
      </c>
      <c r="F818" s="1">
        <v>145</v>
      </c>
      <c r="G818" s="1">
        <v>271298</v>
      </c>
      <c r="H818" s="118">
        <f t="shared" si="786"/>
        <v>344</v>
      </c>
      <c r="I818" s="117"/>
      <c r="J818" s="117"/>
      <c r="K818" s="114">
        <f t="shared" si="784"/>
        <v>62511.059907834104</v>
      </c>
      <c r="L818" s="21">
        <f t="shared" si="785"/>
        <v>1630.4147465437788</v>
      </c>
      <c r="M818" s="31">
        <f t="shared" si="787"/>
        <v>-8.7533156498673742E-2</v>
      </c>
      <c r="N818" s="31">
        <f t="shared" si="788"/>
        <v>2.1538918597742127E-2</v>
      </c>
      <c r="O818" s="43">
        <f t="shared" si="789"/>
        <v>33.410138248847929</v>
      </c>
      <c r="P818" s="49">
        <f t="shared" si="790"/>
        <v>2.0491803278688523E-2</v>
      </c>
      <c r="Q818" s="47">
        <f t="shared" si="791"/>
        <v>79.262672811059915</v>
      </c>
      <c r="R818" s="66">
        <f t="shared" si="792"/>
        <v>788.65697674418607</v>
      </c>
      <c r="S818" s="92">
        <f t="shared" si="793"/>
        <v>4.3778801843317972</v>
      </c>
      <c r="T818" s="93">
        <f t="shared" si="794"/>
        <v>0.46082949308755761</v>
      </c>
      <c r="V818" s="98" t="str">
        <f t="shared" si="795"/>
        <v>AL</v>
      </c>
      <c r="W818" s="102">
        <f t="shared" si="796"/>
        <v>28.046107978883065</v>
      </c>
      <c r="X818" s="103">
        <f t="shared" si="797"/>
        <v>1.7060943285572918E-2</v>
      </c>
      <c r="Y818" s="122">
        <f t="shared" si="798"/>
        <v>0.95138496325607691</v>
      </c>
      <c r="Z818" s="123">
        <f t="shared" si="799"/>
        <v>2.1538918597742127E-2</v>
      </c>
      <c r="AA818" s="123">
        <f t="shared" si="800"/>
        <v>2.0491803278688523E-2</v>
      </c>
      <c r="AB818" s="124">
        <f t="shared" si="801"/>
        <v>1.2088700769496573E-2</v>
      </c>
    </row>
    <row r="819" spans="2:28" x14ac:dyDescent="0.3">
      <c r="B819" s="5" t="s">
        <v>4</v>
      </c>
      <c r="C819" s="1">
        <v>298</v>
      </c>
      <c r="D819" s="14">
        <v>1.36</v>
      </c>
      <c r="E819" s="1">
        <v>282</v>
      </c>
      <c r="F819" s="1">
        <v>7</v>
      </c>
      <c r="G819" s="1">
        <v>45802</v>
      </c>
      <c r="H819" s="118">
        <f t="shared" si="786"/>
        <v>9</v>
      </c>
      <c r="I819" s="117"/>
      <c r="J819" s="117"/>
      <c r="K819" s="114">
        <f t="shared" si="784"/>
        <v>33677.941176470587</v>
      </c>
      <c r="L819" s="21">
        <f t="shared" si="785"/>
        <v>219.11764705882351</v>
      </c>
      <c r="M819" s="31">
        <f t="shared" si="787"/>
        <v>-0.25</v>
      </c>
      <c r="N819" s="31">
        <f t="shared" si="788"/>
        <v>2.4221453287197232E-2</v>
      </c>
      <c r="O819" s="43">
        <f t="shared" si="789"/>
        <v>5.1470588235294112</v>
      </c>
      <c r="P819" s="49">
        <f t="shared" si="790"/>
        <v>2.3489932885906041E-2</v>
      </c>
      <c r="Q819" s="47">
        <f t="shared" si="791"/>
        <v>6.617647058823529</v>
      </c>
      <c r="R819" s="66">
        <f t="shared" si="792"/>
        <v>5089.1111111111113</v>
      </c>
      <c r="S819" s="92">
        <f t="shared" si="793"/>
        <v>0.73529411764705876</v>
      </c>
      <c r="T819" s="93">
        <f t="shared" si="794"/>
        <v>0</v>
      </c>
      <c r="V819" s="98" t="str">
        <f t="shared" si="795"/>
        <v>MA</v>
      </c>
      <c r="W819" s="102">
        <f t="shared" si="796"/>
        <v>108.74058556756036</v>
      </c>
      <c r="X819" s="103">
        <f t="shared" si="797"/>
        <v>4.2559216962559472E-3</v>
      </c>
      <c r="Y819" s="122">
        <f t="shared" si="798"/>
        <v>0.96979865771812079</v>
      </c>
      <c r="Z819" s="123">
        <f t="shared" si="799"/>
        <v>2.4221453287197232E-2</v>
      </c>
      <c r="AA819" s="123">
        <f t="shared" si="800"/>
        <v>2.3489932885906041E-2</v>
      </c>
      <c r="AB819" s="124">
        <f t="shared" si="801"/>
        <v>3.4783269972293749E-3</v>
      </c>
    </row>
    <row r="820" spans="2:28" x14ac:dyDescent="0.3">
      <c r="B820" s="5" t="s">
        <v>5</v>
      </c>
      <c r="C820" s="1">
        <v>647</v>
      </c>
      <c r="D820" s="14">
        <v>1.17</v>
      </c>
      <c r="E820" s="1">
        <v>602</v>
      </c>
      <c r="F820" s="1">
        <v>11</v>
      </c>
      <c r="G820" s="1">
        <v>49132</v>
      </c>
      <c r="H820" s="118">
        <f t="shared" si="786"/>
        <v>34</v>
      </c>
      <c r="I820" s="117"/>
      <c r="J820" s="117"/>
      <c r="K820" s="114">
        <f t="shared" si="784"/>
        <v>41993.162393162398</v>
      </c>
      <c r="L820" s="21">
        <f t="shared" si="785"/>
        <v>552.991452991453</v>
      </c>
      <c r="M820" s="31">
        <f t="shared" si="787"/>
        <v>3.0303030303030304E-2</v>
      </c>
      <c r="N820" s="31">
        <f t="shared" si="788"/>
        <v>1.794453507340946E-2</v>
      </c>
      <c r="O820" s="43">
        <f t="shared" si="789"/>
        <v>9.4017094017094021</v>
      </c>
      <c r="P820" s="49">
        <f t="shared" si="790"/>
        <v>1.7001545595054096E-2</v>
      </c>
      <c r="Q820" s="47">
        <f t="shared" si="791"/>
        <v>29.059829059829063</v>
      </c>
      <c r="R820" s="66">
        <f t="shared" si="792"/>
        <v>1445.0588235294117</v>
      </c>
      <c r="S820" s="92">
        <f t="shared" si="793"/>
        <v>0.85470085470085477</v>
      </c>
      <c r="T820" s="93">
        <f t="shared" si="794"/>
        <v>0</v>
      </c>
      <c r="V820" s="98" t="str">
        <f t="shared" si="795"/>
        <v>SA</v>
      </c>
      <c r="W820" s="102">
        <f t="shared" si="796"/>
        <v>84.401678871072818</v>
      </c>
      <c r="X820" s="103">
        <f t="shared" si="797"/>
        <v>8.6139360792723361E-3</v>
      </c>
      <c r="Y820" s="122">
        <f t="shared" si="798"/>
        <v>0.94744976816074189</v>
      </c>
      <c r="Z820" s="123">
        <f t="shared" si="799"/>
        <v>1.794453507340946E-2</v>
      </c>
      <c r="AA820" s="123">
        <f t="shared" si="800"/>
        <v>1.7001545595054096E-2</v>
      </c>
      <c r="AB820" s="124">
        <f t="shared" si="801"/>
        <v>4.906825270547175E-3</v>
      </c>
    </row>
    <row r="821" spans="2:28" x14ac:dyDescent="0.3">
      <c r="B821" s="5" t="s">
        <v>6</v>
      </c>
      <c r="C821" s="1">
        <v>1058</v>
      </c>
      <c r="D821" s="14">
        <v>0.96499999999999997</v>
      </c>
      <c r="E821" s="1">
        <v>993</v>
      </c>
      <c r="F821" s="1">
        <v>60</v>
      </c>
      <c r="G821" s="1">
        <f>43340+C821</f>
        <v>44398</v>
      </c>
      <c r="H821" s="118">
        <f t="shared" si="786"/>
        <v>5</v>
      </c>
      <c r="I821" s="117"/>
      <c r="J821" s="117"/>
      <c r="K821" s="114">
        <f t="shared" si="784"/>
        <v>46008.290155440416</v>
      </c>
      <c r="L821" s="21">
        <f t="shared" si="785"/>
        <v>1096.3730569948186</v>
      </c>
      <c r="M821" s="31">
        <f t="shared" si="787"/>
        <v>0</v>
      </c>
      <c r="N821" s="31">
        <f t="shared" si="788"/>
        <v>5.6980056980056981E-2</v>
      </c>
      <c r="O821" s="43">
        <f t="shared" si="789"/>
        <v>62.176165803108809</v>
      </c>
      <c r="P821" s="49">
        <f t="shared" si="790"/>
        <v>5.6710775047258979E-2</v>
      </c>
      <c r="Q821" s="47">
        <f t="shared" si="791"/>
        <v>5.1813471502590671</v>
      </c>
      <c r="R821" s="66">
        <f t="shared" si="792"/>
        <v>8879.6</v>
      </c>
      <c r="S821" s="92">
        <f t="shared" si="793"/>
        <v>1.0362694300518136</v>
      </c>
      <c r="T821" s="93">
        <f t="shared" si="794"/>
        <v>0</v>
      </c>
      <c r="V821" s="98" t="str">
        <f t="shared" si="795"/>
        <v>NS</v>
      </c>
      <c r="W821" s="102">
        <f t="shared" si="796"/>
        <v>9.7777975388601028</v>
      </c>
      <c r="X821" s="103">
        <f t="shared" si="797"/>
        <v>1.5587772834313986E-2</v>
      </c>
      <c r="Y821" s="122">
        <f t="shared" si="798"/>
        <v>0.99527410207939504</v>
      </c>
      <c r="Z821" s="123">
        <f t="shared" si="799"/>
        <v>5.6980056980056981E-2</v>
      </c>
      <c r="AA821" s="123">
        <f t="shared" si="800"/>
        <v>5.6710775047258979E-2</v>
      </c>
      <c r="AB821" s="124">
        <f t="shared" si="801"/>
        <v>1.0648545011516415E-2</v>
      </c>
    </row>
    <row r="822" spans="2:28" x14ac:dyDescent="0.3">
      <c r="B822" s="5" t="s">
        <v>7</v>
      </c>
      <c r="C822" s="1">
        <v>135</v>
      </c>
      <c r="D822" s="14">
        <v>0.77200000000000002</v>
      </c>
      <c r="E822" s="1">
        <v>120</v>
      </c>
      <c r="F822" s="1">
        <v>0</v>
      </c>
      <c r="G822" s="1">
        <v>31791</v>
      </c>
      <c r="H822" s="118">
        <f t="shared" si="786"/>
        <v>15</v>
      </c>
      <c r="I822" s="117"/>
      <c r="J822" s="117"/>
      <c r="K822" s="114">
        <f t="shared" si="784"/>
        <v>41180.051813471502</v>
      </c>
      <c r="L822" s="21">
        <f t="shared" si="785"/>
        <v>174.87046632124353</v>
      </c>
      <c r="M822" s="31">
        <f t="shared" si="787"/>
        <v>0.15384615384615385</v>
      </c>
      <c r="N822" s="31">
        <f t="shared" si="788"/>
        <v>0</v>
      </c>
      <c r="O822" s="43">
        <f t="shared" si="789"/>
        <v>0</v>
      </c>
      <c r="P822" s="49">
        <f t="shared" si="790"/>
        <v>0</v>
      </c>
      <c r="Q822" s="47">
        <f t="shared" si="791"/>
        <v>19.430051813471501</v>
      </c>
      <c r="R822" s="66">
        <f>IFERROR(G822/H822,20000)</f>
        <v>2119.4</v>
      </c>
      <c r="S822" s="92">
        <f t="shared" si="793"/>
        <v>2.5906735751295336</v>
      </c>
      <c r="T822" s="93">
        <f t="shared" si="794"/>
        <v>0</v>
      </c>
      <c r="V822" s="98" t="str">
        <f t="shared" si="795"/>
        <v>NB</v>
      </c>
      <c r="W822" s="102">
        <f t="shared" si="796"/>
        <v>500.97150259067359</v>
      </c>
      <c r="X822" s="103">
        <f t="shared" si="797"/>
        <v>2.7777386815618236E-3</v>
      </c>
      <c r="Y822" s="122">
        <f t="shared" si="798"/>
        <v>0.88888888888888884</v>
      </c>
      <c r="Z822" s="123">
        <f t="shared" si="799"/>
        <v>0</v>
      </c>
      <c r="AA822" s="123">
        <f t="shared" si="800"/>
        <v>0</v>
      </c>
      <c r="AB822" s="124">
        <f t="shared" si="801"/>
        <v>2.5722806299019107E-3</v>
      </c>
    </row>
    <row r="823" spans="2:28" x14ac:dyDescent="0.3">
      <c r="B823" s="5" t="s">
        <v>18</v>
      </c>
      <c r="C823" s="9">
        <v>27</v>
      </c>
      <c r="D823" s="15">
        <v>0.154</v>
      </c>
      <c r="E823" s="9">
        <v>27</v>
      </c>
      <c r="F823" s="9">
        <v>0</v>
      </c>
      <c r="G823" s="9">
        <v>6939</v>
      </c>
      <c r="H823" s="118">
        <f t="shared" si="786"/>
        <v>0</v>
      </c>
      <c r="I823" s="117"/>
      <c r="J823" s="117"/>
      <c r="K823" s="115">
        <f t="shared" si="784"/>
        <v>45058.441558441562</v>
      </c>
      <c r="L823" s="22">
        <f t="shared" si="785"/>
        <v>175.32467532467533</v>
      </c>
      <c r="M823" s="31">
        <v>0</v>
      </c>
      <c r="N823" s="31">
        <f t="shared" si="788"/>
        <v>0</v>
      </c>
      <c r="O823" s="44">
        <f t="shared" si="789"/>
        <v>0</v>
      </c>
      <c r="P823" s="49">
        <f t="shared" si="790"/>
        <v>0</v>
      </c>
      <c r="Q823" s="47">
        <f t="shared" si="791"/>
        <v>0</v>
      </c>
      <c r="R823" s="66">
        <f>IFERROR(G823/H823,20000)</f>
        <v>20000</v>
      </c>
      <c r="S823" s="92">
        <f t="shared" si="793"/>
        <v>0</v>
      </c>
      <c r="T823" s="93">
        <f t="shared" si="794"/>
        <v>0</v>
      </c>
      <c r="V823" s="98" t="str">
        <f t="shared" si="795"/>
        <v>PEI</v>
      </c>
      <c r="W823" s="102">
        <f t="shared" si="796"/>
        <v>500.97402597402595</v>
      </c>
      <c r="X823" s="103">
        <f t="shared" si="797"/>
        <v>2.5452396721582912E-3</v>
      </c>
      <c r="Y823" s="122">
        <f t="shared" si="798"/>
        <v>1</v>
      </c>
      <c r="Z823" s="123">
        <f t="shared" si="799"/>
        <v>0</v>
      </c>
      <c r="AA823" s="123">
        <f t="shared" si="800"/>
        <v>0</v>
      </c>
      <c r="AB823" s="124">
        <f t="shared" si="801"/>
        <v>2.7554536855358774E-3</v>
      </c>
    </row>
    <row r="824" spans="2:28" ht="15" thickBot="1" x14ac:dyDescent="0.35">
      <c r="B824" s="5" t="s">
        <v>11</v>
      </c>
      <c r="C824" s="9">
        <v>261</v>
      </c>
      <c r="D824" s="15">
        <v>0.52400000000000002</v>
      </c>
      <c r="E824" s="9">
        <v>256</v>
      </c>
      <c r="F824" s="9">
        <v>3</v>
      </c>
      <c r="G824" s="9">
        <v>12619</v>
      </c>
      <c r="H824" s="119">
        <f t="shared" si="786"/>
        <v>2</v>
      </c>
      <c r="I824" s="117"/>
      <c r="J824" s="117"/>
      <c r="K824" s="115">
        <f t="shared" si="784"/>
        <v>24082.061068702289</v>
      </c>
      <c r="L824" s="22">
        <f t="shared" si="785"/>
        <v>498.09160305343511</v>
      </c>
      <c r="M824" s="31">
        <f>(H824-H810)/H810</f>
        <v>0</v>
      </c>
      <c r="N824" s="32">
        <f t="shared" si="788"/>
        <v>1.1583011583011582E-2</v>
      </c>
      <c r="O824" s="44">
        <f t="shared" si="789"/>
        <v>5.7251908396946565</v>
      </c>
      <c r="P824" s="50">
        <f t="shared" si="790"/>
        <v>1.1494252873563218E-2</v>
      </c>
      <c r="Q824" s="48">
        <f t="shared" si="791"/>
        <v>3.8167938931297707</v>
      </c>
      <c r="R824" s="67">
        <f>G824/H824</f>
        <v>6309.5</v>
      </c>
      <c r="S824" s="92">
        <f t="shared" si="793"/>
        <v>0</v>
      </c>
      <c r="T824" s="93">
        <f t="shared" si="794"/>
        <v>0</v>
      </c>
      <c r="V824" s="99" t="str">
        <f t="shared" si="795"/>
        <v>NFLD</v>
      </c>
      <c r="W824" s="120">
        <f t="shared" si="796"/>
        <v>200.31517557251911</v>
      </c>
      <c r="X824" s="103">
        <f t="shared" si="797"/>
        <v>1.3529363776001403E-2</v>
      </c>
      <c r="Y824" s="122">
        <f t="shared" si="798"/>
        <v>0.9923371647509579</v>
      </c>
      <c r="Z824" s="123">
        <f t="shared" si="799"/>
        <v>1.1583011583011582E-2</v>
      </c>
      <c r="AA824" s="123">
        <f t="shared" si="800"/>
        <v>1.1494252873563218E-2</v>
      </c>
      <c r="AB824" s="124">
        <f t="shared" si="801"/>
        <v>9.8194335026248487E-3</v>
      </c>
    </row>
    <row r="825" spans="2:28" ht="15" thickBot="1" x14ac:dyDescent="0.35">
      <c r="B825" s="11" t="s">
        <v>10</v>
      </c>
      <c r="C825" s="12">
        <v>93085</v>
      </c>
      <c r="D825" s="16">
        <v>37.6</v>
      </c>
      <c r="E825" s="12">
        <v>51048</v>
      </c>
      <c r="F825" s="12">
        <v>7498</v>
      </c>
      <c r="G825" s="12">
        <f>SUM(G815:G824)</f>
        <v>1844637</v>
      </c>
      <c r="H825" s="81">
        <f t="shared" si="786"/>
        <v>34539</v>
      </c>
      <c r="I825" s="117"/>
      <c r="J825" s="117"/>
      <c r="K825" s="77">
        <f t="shared" si="784"/>
        <v>49059.494680851065</v>
      </c>
      <c r="L825" s="23">
        <f t="shared" si="785"/>
        <v>2475.6648936170213</v>
      </c>
      <c r="M825" s="31">
        <f>(H825-H811)/H811</f>
        <v>-3.4335506953661493E-3</v>
      </c>
      <c r="N825" s="33">
        <f t="shared" si="788"/>
        <v>0.1280702353704779</v>
      </c>
      <c r="O825" s="45">
        <f>F825/D825</f>
        <v>199.41489361702128</v>
      </c>
      <c r="P825" s="53">
        <f t="shared" si="790"/>
        <v>8.0550034914325622E-2</v>
      </c>
      <c r="Q825" s="55">
        <f t="shared" si="791"/>
        <v>918.59042553191489</v>
      </c>
      <c r="R825" s="74">
        <f>G825/H825</f>
        <v>53.407365586728048</v>
      </c>
      <c r="S825" s="92">
        <f t="shared" si="793"/>
        <v>17.952127659574469</v>
      </c>
      <c r="T825" s="93">
        <f t="shared" si="794"/>
        <v>2.7393617021276593</v>
      </c>
      <c r="V825" s="108" t="str">
        <f t="shared" si="795"/>
        <v>Canada</v>
      </c>
      <c r="W825" s="109">
        <f t="shared" si="796"/>
        <v>14.563013397410852</v>
      </c>
      <c r="X825" s="103">
        <f t="shared" si="797"/>
        <v>3.3008865248226951E-2</v>
      </c>
      <c r="Y825" s="122">
        <f t="shared" si="798"/>
        <v>0.62895203308803782</v>
      </c>
      <c r="Z825" s="123">
        <f t="shared" si="799"/>
        <v>0.1280702353704779</v>
      </c>
      <c r="AA825" s="123">
        <f t="shared" si="800"/>
        <v>8.0550034914325622E-2</v>
      </c>
      <c r="AB825" s="124">
        <f t="shared" si="801"/>
        <v>2.155035460992908E-2</v>
      </c>
    </row>
    <row r="826" spans="2:28" ht="15" thickBot="1" x14ac:dyDescent="0.35">
      <c r="B826" s="6" t="s">
        <v>9</v>
      </c>
      <c r="C826" s="7">
        <v>1895144</v>
      </c>
      <c r="D826" s="7">
        <v>327</v>
      </c>
      <c r="E826" s="7">
        <v>649376</v>
      </c>
      <c r="F826" s="7">
        <v>108773</v>
      </c>
      <c r="G826" s="7">
        <v>18903193</v>
      </c>
      <c r="H826" s="82">
        <f t="shared" si="786"/>
        <v>1136995</v>
      </c>
      <c r="I826" s="117"/>
      <c r="J826" s="117"/>
      <c r="K826" s="78">
        <f t="shared" si="784"/>
        <v>57807.929663608564</v>
      </c>
      <c r="L826" s="24">
        <f t="shared" si="785"/>
        <v>5795.547400611621</v>
      </c>
      <c r="M826" s="31">
        <f>(H826-H812)/H812</f>
        <v>-8.1684707844575741E-3</v>
      </c>
      <c r="N826" s="33">
        <f t="shared" si="788"/>
        <v>0.14347179776007091</v>
      </c>
      <c r="O826" s="46">
        <f>F826/D826</f>
        <v>332.63914373088687</v>
      </c>
      <c r="P826" s="52">
        <f t="shared" si="790"/>
        <v>5.7395638537229891E-2</v>
      </c>
      <c r="Q826" s="54">
        <f t="shared" si="791"/>
        <v>3477.0489296636088</v>
      </c>
      <c r="R826" s="72">
        <f>G826/H826</f>
        <v>16.625572671823534</v>
      </c>
      <c r="S826" s="92">
        <f t="shared" si="793"/>
        <v>67.691131498470952</v>
      </c>
      <c r="T826" s="93">
        <f t="shared" si="794"/>
        <v>3.0275229357798166</v>
      </c>
      <c r="V826" s="108" t="str">
        <f t="shared" si="795"/>
        <v>USA</v>
      </c>
      <c r="W826" s="109">
        <f t="shared" si="796"/>
        <v>32.878397744602388</v>
      </c>
      <c r="X826" s="103">
        <f t="shared" si="797"/>
        <v>6.5579613622204339E-2</v>
      </c>
      <c r="Y826" s="122">
        <f t="shared" si="798"/>
        <v>0.40004822852511474</v>
      </c>
      <c r="Z826" s="123">
        <f t="shared" si="799"/>
        <v>0.14347179776007091</v>
      </c>
      <c r="AA826" s="123">
        <f t="shared" si="800"/>
        <v>5.7395638537229891E-2</v>
      </c>
      <c r="AB826" s="124">
        <f t="shared" si="801"/>
        <v>5.5453118326715442E-2</v>
      </c>
    </row>
    <row r="827" spans="2:28" ht="15" thickBot="1" x14ac:dyDescent="0.35"/>
    <row r="828" spans="2:28" ht="58.2" thickBot="1" x14ac:dyDescent="0.35">
      <c r="B828" s="96">
        <v>38139</v>
      </c>
      <c r="C828" s="18" t="s">
        <v>8</v>
      </c>
      <c r="D828" s="19" t="s">
        <v>17</v>
      </c>
      <c r="E828" s="19" t="s">
        <v>15</v>
      </c>
      <c r="F828" s="19" t="s">
        <v>16</v>
      </c>
      <c r="G828" s="19" t="s">
        <v>14</v>
      </c>
      <c r="H828" s="20" t="s">
        <v>38</v>
      </c>
      <c r="I828" s="116"/>
      <c r="J828" s="116"/>
      <c r="K828" s="19" t="s">
        <v>21</v>
      </c>
      <c r="L828" s="19" t="s">
        <v>20</v>
      </c>
      <c r="M828" s="19" t="s">
        <v>40</v>
      </c>
      <c r="N828" s="19" t="s">
        <v>32</v>
      </c>
      <c r="O828" s="19" t="s">
        <v>22</v>
      </c>
      <c r="P828" s="51" t="s">
        <v>34</v>
      </c>
      <c r="Q828" s="20" t="s">
        <v>35</v>
      </c>
      <c r="R828" s="63" t="s">
        <v>39</v>
      </c>
      <c r="S828" s="91" t="s">
        <v>43</v>
      </c>
      <c r="T828" s="91" t="s">
        <v>44</v>
      </c>
      <c r="V828" s="104" t="s">
        <v>48</v>
      </c>
      <c r="W828" s="105" t="s">
        <v>49</v>
      </c>
      <c r="X828" s="106" t="s">
        <v>50</v>
      </c>
      <c r="Y828" s="61" t="s">
        <v>52</v>
      </c>
      <c r="Z828" s="61" t="s">
        <v>55</v>
      </c>
      <c r="AA828" s="61" t="s">
        <v>56</v>
      </c>
      <c r="AB828" s="61" t="s">
        <v>54</v>
      </c>
    </row>
    <row r="829" spans="2:28" x14ac:dyDescent="0.3">
      <c r="B829" s="3" t="s">
        <v>0</v>
      </c>
      <c r="C829" s="1">
        <v>29403</v>
      </c>
      <c r="D829" s="14">
        <v>14.45</v>
      </c>
      <c r="E829" s="1">
        <v>23208</v>
      </c>
      <c r="F829" s="1">
        <v>2357</v>
      </c>
      <c r="G829" s="1">
        <v>786323</v>
      </c>
      <c r="H829" s="118">
        <f>C829-E829-F829</f>
        <v>3838</v>
      </c>
      <c r="I829" s="117"/>
      <c r="J829" s="117"/>
      <c r="K829" s="114">
        <f t="shared" ref="K829:K840" si="802">G829/D829</f>
        <v>54416.816608996545</v>
      </c>
      <c r="L829" s="21">
        <f t="shared" ref="L829:L840" si="803">C829/D829</f>
        <v>2034.809688581315</v>
      </c>
      <c r="M829" s="31">
        <f>(H829-H815)/H815</f>
        <v>-2.1916411824668705E-2</v>
      </c>
      <c r="N829" s="31">
        <f>F829/(E829+F829)</f>
        <v>9.2196362213964406E-2</v>
      </c>
      <c r="O829" s="43">
        <f>F829/D829</f>
        <v>163.11418685121109</v>
      </c>
      <c r="P829" s="49">
        <f>F829/C829</f>
        <v>8.0161888242696322E-2</v>
      </c>
      <c r="Q829" s="47">
        <f>(C829-E829-F829)/D829</f>
        <v>265.60553633217995</v>
      </c>
      <c r="R829" s="66">
        <f>G829/H829</f>
        <v>204.87832204273059</v>
      </c>
      <c r="S829" s="92">
        <f>(C829-C815)/D829</f>
        <v>24.636678200692042</v>
      </c>
      <c r="T829" s="93">
        <f>(F829-F815)/D829</f>
        <v>3.1141868512110729</v>
      </c>
      <c r="V829" s="101" t="str">
        <f>B829</f>
        <v>ON</v>
      </c>
      <c r="W829" s="102">
        <f>L829/180+IFERROR((D829*C829*13)/(F829*F829),500)</f>
        <v>12.298720978087738</v>
      </c>
      <c r="X829" s="103">
        <f>L829/75000*K$839/K829</f>
        <v>2.4988038557378061E-2</v>
      </c>
      <c r="Y829" s="122">
        <f>(E829+F829)/C829</f>
        <v>0.86946910179233416</v>
      </c>
      <c r="Z829" s="123">
        <f>N829</f>
        <v>9.2196362213964406E-2</v>
      </c>
      <c r="AA829" s="123">
        <f>P829</f>
        <v>8.0161888242696322E-2</v>
      </c>
      <c r="AB829" s="124">
        <f>X465</f>
        <v>1.7939190339936278E-2</v>
      </c>
    </row>
    <row r="830" spans="2:28" x14ac:dyDescent="0.3">
      <c r="B830" s="5" t="s">
        <v>1</v>
      </c>
      <c r="C830" s="1">
        <v>52143</v>
      </c>
      <c r="D830" s="14">
        <v>8.43</v>
      </c>
      <c r="E830" s="1">
        <v>17336</v>
      </c>
      <c r="F830" s="1">
        <v>4885</v>
      </c>
      <c r="G830" s="1">
        <f>434940+13636+9458+9646+12444</f>
        <v>480124</v>
      </c>
      <c r="H830" s="118">
        <f t="shared" ref="H830:H840" si="804">C830-E830-F830</f>
        <v>29922</v>
      </c>
      <c r="I830" s="117"/>
      <c r="J830" s="117"/>
      <c r="K830" s="114">
        <f t="shared" si="802"/>
        <v>56954.211150652431</v>
      </c>
      <c r="L830" s="21">
        <f t="shared" si="803"/>
        <v>6185.4092526690392</v>
      </c>
      <c r="M830" s="31">
        <f t="shared" ref="M830:M836" si="805">(H830-H816)/H816</f>
        <v>-2.3339557215257402E-3</v>
      </c>
      <c r="N830" s="31">
        <f t="shared" ref="N830:N840" si="806">F830/(E830+F830)</f>
        <v>0.2198370910400072</v>
      </c>
      <c r="O830" s="43">
        <f t="shared" ref="O830:O838" si="807">F830/D830</f>
        <v>579.47805456702258</v>
      </c>
      <c r="P830" s="49">
        <f t="shared" ref="P830:P840" si="808">F830/C830</f>
        <v>9.3684674836507303E-2</v>
      </c>
      <c r="Q830" s="47">
        <f t="shared" ref="Q830:Q840" si="809">(C830-E830-F830)/D830</f>
        <v>3549.4661921708184</v>
      </c>
      <c r="R830" s="66">
        <f t="shared" ref="R830:R835" si="810">G830/H830</f>
        <v>16.045852549963239</v>
      </c>
      <c r="S830" s="92">
        <f t="shared" ref="S830:S840" si="811">(C830-C816)/D830</f>
        <v>30.723606168446029</v>
      </c>
      <c r="T830" s="93">
        <f t="shared" ref="T830:T840" si="812">(F830-F816)/D830</f>
        <v>10.794780545670227</v>
      </c>
      <c r="V830" s="98" t="str">
        <f t="shared" ref="V830:V840" si="813">B830</f>
        <v>QC</v>
      </c>
      <c r="W830" s="102">
        <f t="shared" ref="W830:W840" si="814">L830/180+IFERROR((D830*C830*13)/(F830*F830),500)</f>
        <v>34.602847398530386</v>
      </c>
      <c r="X830" s="103">
        <f t="shared" ref="X830:X840" si="815">L830/75000*K$839/K830</f>
        <v>7.2574508136816429E-2</v>
      </c>
      <c r="Y830" s="122">
        <f t="shared" ref="Y830:Y840" si="816">(E830+F830)/C830</f>
        <v>0.42615499683562513</v>
      </c>
      <c r="Z830" s="123">
        <f t="shared" ref="Z830:Z840" si="817">N830</f>
        <v>0.2198370910400072</v>
      </c>
      <c r="AA830" s="123">
        <f t="shared" ref="AA830:AA840" si="818">P830</f>
        <v>9.3684674836507303E-2</v>
      </c>
      <c r="AB830" s="124">
        <f t="shared" ref="AB830:AB840" si="819">X466</f>
        <v>4.9009007804642048E-2</v>
      </c>
    </row>
    <row r="831" spans="2:28" x14ac:dyDescent="0.3">
      <c r="B831" s="5" t="s">
        <v>2</v>
      </c>
      <c r="C831" s="1">
        <v>2632</v>
      </c>
      <c r="D831" s="14">
        <v>5.0199999999999996</v>
      </c>
      <c r="E831" s="1">
        <v>2265</v>
      </c>
      <c r="F831" s="1">
        <v>166</v>
      </c>
      <c r="G831" s="95">
        <v>149477</v>
      </c>
      <c r="H831" s="118">
        <f t="shared" si="804"/>
        <v>201</v>
      </c>
      <c r="I831" s="117"/>
      <c r="J831" s="117"/>
      <c r="K831" s="114">
        <f t="shared" si="802"/>
        <v>29776.294820717136</v>
      </c>
      <c r="L831" s="21">
        <f t="shared" si="803"/>
        <v>524.30278884462155</v>
      </c>
      <c r="M831" s="31">
        <f t="shared" si="805"/>
        <v>-6.0747663551401869E-2</v>
      </c>
      <c r="N831" s="31">
        <f t="shared" si="806"/>
        <v>6.8284656519950637E-2</v>
      </c>
      <c r="O831" s="43">
        <f t="shared" si="807"/>
        <v>33.067729083665341</v>
      </c>
      <c r="P831" s="49">
        <f t="shared" si="808"/>
        <v>6.3069908814589667E-2</v>
      </c>
      <c r="Q831" s="47">
        <f t="shared" si="809"/>
        <v>40.039840637450204</v>
      </c>
      <c r="R831" s="66">
        <f t="shared" si="810"/>
        <v>743.66666666666663</v>
      </c>
      <c r="S831" s="92">
        <f t="shared" si="811"/>
        <v>1.7928286852589643</v>
      </c>
      <c r="T831" s="93">
        <f t="shared" si="812"/>
        <v>0</v>
      </c>
      <c r="V831" s="98" t="str">
        <f t="shared" si="813"/>
        <v>BC</v>
      </c>
      <c r="W831" s="102">
        <f t="shared" si="814"/>
        <v>9.1460753151970113</v>
      </c>
      <c r="X831" s="103">
        <f t="shared" si="815"/>
        <v>1.176665484768002E-2</v>
      </c>
      <c r="Y831" s="122">
        <f t="shared" si="816"/>
        <v>0.92363221884498481</v>
      </c>
      <c r="Z831" s="123">
        <f t="shared" si="817"/>
        <v>6.8284656519950637E-2</v>
      </c>
      <c r="AA831" s="123">
        <f t="shared" si="818"/>
        <v>6.3069908814589667E-2</v>
      </c>
      <c r="AB831" s="124">
        <f t="shared" si="819"/>
        <v>7.854604404040167E-3</v>
      </c>
    </row>
    <row r="832" spans="2:28" x14ac:dyDescent="0.3">
      <c r="B832" s="5" t="s">
        <v>3</v>
      </c>
      <c r="C832" s="1">
        <v>7091</v>
      </c>
      <c r="D832" s="14">
        <v>4.34</v>
      </c>
      <c r="E832" s="1">
        <v>6611</v>
      </c>
      <c r="F832" s="1">
        <v>146</v>
      </c>
      <c r="G832" s="1">
        <v>275524</v>
      </c>
      <c r="H832" s="118">
        <f t="shared" si="804"/>
        <v>334</v>
      </c>
      <c r="I832" s="117"/>
      <c r="J832" s="117"/>
      <c r="K832" s="114">
        <f t="shared" si="802"/>
        <v>63484.792626728115</v>
      </c>
      <c r="L832" s="21">
        <f t="shared" si="803"/>
        <v>1633.8709677419356</v>
      </c>
      <c r="M832" s="31">
        <f t="shared" si="805"/>
        <v>-2.9069767441860465E-2</v>
      </c>
      <c r="N832" s="31">
        <f t="shared" si="806"/>
        <v>2.1607222140002959E-2</v>
      </c>
      <c r="O832" s="43">
        <f t="shared" si="807"/>
        <v>33.640552995391708</v>
      </c>
      <c r="P832" s="49">
        <f t="shared" si="808"/>
        <v>2.0589479622056126E-2</v>
      </c>
      <c r="Q832" s="47">
        <f t="shared" si="809"/>
        <v>76.958525345622121</v>
      </c>
      <c r="R832" s="66">
        <f t="shared" si="810"/>
        <v>824.92215568862275</v>
      </c>
      <c r="S832" s="92">
        <f t="shared" si="811"/>
        <v>3.4562211981566819</v>
      </c>
      <c r="T832" s="93">
        <f t="shared" si="812"/>
        <v>0.2304147465437788</v>
      </c>
      <c r="V832" s="98" t="str">
        <f t="shared" si="813"/>
        <v>AL</v>
      </c>
      <c r="W832" s="102">
        <f t="shared" si="814"/>
        <v>27.845789586431447</v>
      </c>
      <c r="X832" s="103">
        <f t="shared" si="815"/>
        <v>1.7198459698353236E-2</v>
      </c>
      <c r="Y832" s="122">
        <f t="shared" si="816"/>
        <v>0.95289803976872089</v>
      </c>
      <c r="Z832" s="123">
        <f t="shared" si="817"/>
        <v>2.1607222140002959E-2</v>
      </c>
      <c r="AA832" s="123">
        <f t="shared" si="818"/>
        <v>2.0589479622056126E-2</v>
      </c>
      <c r="AB832" s="124">
        <f t="shared" si="819"/>
        <v>1.2193212844728985E-2</v>
      </c>
    </row>
    <row r="833" spans="2:28" x14ac:dyDescent="0.3">
      <c r="B833" s="5" t="s">
        <v>4</v>
      </c>
      <c r="C833" s="1">
        <v>298</v>
      </c>
      <c r="D833" s="14">
        <v>1.36</v>
      </c>
      <c r="E833" s="1">
        <v>284</v>
      </c>
      <c r="F833" s="1">
        <v>7</v>
      </c>
      <c r="G833" s="1">
        <v>46701</v>
      </c>
      <c r="H833" s="118">
        <f t="shared" si="804"/>
        <v>7</v>
      </c>
      <c r="I833" s="117"/>
      <c r="J833" s="117"/>
      <c r="K833" s="114">
        <f t="shared" si="802"/>
        <v>34338.970588235294</v>
      </c>
      <c r="L833" s="21">
        <f t="shared" si="803"/>
        <v>219.11764705882351</v>
      </c>
      <c r="M833" s="31">
        <f t="shared" si="805"/>
        <v>-0.22222222222222221</v>
      </c>
      <c r="N833" s="31">
        <f t="shared" si="806"/>
        <v>2.4054982817869417E-2</v>
      </c>
      <c r="O833" s="43">
        <f t="shared" si="807"/>
        <v>5.1470588235294112</v>
      </c>
      <c r="P833" s="49">
        <f t="shared" si="808"/>
        <v>2.3489932885906041E-2</v>
      </c>
      <c r="Q833" s="47">
        <f t="shared" si="809"/>
        <v>5.1470588235294112</v>
      </c>
      <c r="R833" s="66">
        <f t="shared" si="810"/>
        <v>6671.5714285714284</v>
      </c>
      <c r="S833" s="92">
        <f t="shared" si="811"/>
        <v>0</v>
      </c>
      <c r="T833" s="93">
        <f t="shared" si="812"/>
        <v>0</v>
      </c>
      <c r="V833" s="98" t="str">
        <f t="shared" si="813"/>
        <v>MA</v>
      </c>
      <c r="W833" s="102">
        <f t="shared" si="814"/>
        <v>108.74058556756036</v>
      </c>
      <c r="X833" s="103">
        <f t="shared" si="815"/>
        <v>4.2641412905793782E-3</v>
      </c>
      <c r="Y833" s="122">
        <f t="shared" si="816"/>
        <v>0.97651006711409394</v>
      </c>
      <c r="Z833" s="123">
        <f t="shared" si="817"/>
        <v>2.4054982817869417E-2</v>
      </c>
      <c r="AA833" s="123">
        <f t="shared" si="818"/>
        <v>2.3489932885906041E-2</v>
      </c>
      <c r="AB833" s="124">
        <f t="shared" si="819"/>
        <v>3.5085868586858695E-3</v>
      </c>
    </row>
    <row r="834" spans="2:28" x14ac:dyDescent="0.3">
      <c r="B834" s="5" t="s">
        <v>5</v>
      </c>
      <c r="C834" s="1">
        <v>648</v>
      </c>
      <c r="D834" s="14">
        <v>1.17</v>
      </c>
      <c r="E834" s="1">
        <v>608</v>
      </c>
      <c r="F834" s="1">
        <v>11</v>
      </c>
      <c r="G834" s="1">
        <v>49132</v>
      </c>
      <c r="H834" s="118">
        <f t="shared" si="804"/>
        <v>29</v>
      </c>
      <c r="I834" s="117"/>
      <c r="J834" s="117"/>
      <c r="K834" s="114">
        <f t="shared" si="802"/>
        <v>41993.162393162398</v>
      </c>
      <c r="L834" s="21">
        <f t="shared" si="803"/>
        <v>553.84615384615392</v>
      </c>
      <c r="M834" s="31">
        <f t="shared" si="805"/>
        <v>-0.14705882352941177</v>
      </c>
      <c r="N834" s="31">
        <f t="shared" si="806"/>
        <v>1.7770597738287562E-2</v>
      </c>
      <c r="O834" s="43">
        <f t="shared" si="807"/>
        <v>9.4017094017094021</v>
      </c>
      <c r="P834" s="49">
        <f t="shared" si="808"/>
        <v>1.6975308641975308E-2</v>
      </c>
      <c r="Q834" s="47">
        <f t="shared" si="809"/>
        <v>24.786324786324787</v>
      </c>
      <c r="R834" s="66">
        <f t="shared" si="810"/>
        <v>1694.2068965517242</v>
      </c>
      <c r="S834" s="92">
        <f t="shared" si="811"/>
        <v>0.85470085470085477</v>
      </c>
      <c r="T834" s="93">
        <f t="shared" si="812"/>
        <v>0</v>
      </c>
      <c r="V834" s="98" t="str">
        <f t="shared" si="813"/>
        <v>SA</v>
      </c>
      <c r="W834" s="102">
        <f t="shared" si="814"/>
        <v>84.532129688493328</v>
      </c>
      <c r="X834" s="103">
        <f t="shared" si="815"/>
        <v>8.8135742013265173E-3</v>
      </c>
      <c r="Y834" s="122">
        <f t="shared" si="816"/>
        <v>0.95524691358024694</v>
      </c>
      <c r="Z834" s="123">
        <f t="shared" si="817"/>
        <v>1.7770597738287562E-2</v>
      </c>
      <c r="AA834" s="123">
        <f t="shared" si="818"/>
        <v>1.6975308641975308E-2</v>
      </c>
      <c r="AB834" s="124">
        <f t="shared" si="819"/>
        <v>5.1120269435039091E-3</v>
      </c>
    </row>
    <row r="835" spans="2:28" x14ac:dyDescent="0.3">
      <c r="B835" s="5" t="s">
        <v>6</v>
      </c>
      <c r="C835" s="1">
        <v>1058</v>
      </c>
      <c r="D835" s="14">
        <v>0.96499999999999997</v>
      </c>
      <c r="E835" s="1">
        <v>995</v>
      </c>
      <c r="F835" s="1">
        <v>61</v>
      </c>
      <c r="G835" s="1">
        <f>43911+C835</f>
        <v>44969</v>
      </c>
      <c r="H835" s="118">
        <f t="shared" si="804"/>
        <v>2</v>
      </c>
      <c r="I835" s="117"/>
      <c r="J835" s="117"/>
      <c r="K835" s="114">
        <f t="shared" si="802"/>
        <v>46600</v>
      </c>
      <c r="L835" s="21">
        <f t="shared" si="803"/>
        <v>1096.3730569948186</v>
      </c>
      <c r="M835" s="31">
        <f t="shared" si="805"/>
        <v>-0.6</v>
      </c>
      <c r="N835" s="31">
        <f t="shared" si="806"/>
        <v>5.7765151515151512E-2</v>
      </c>
      <c r="O835" s="43">
        <f t="shared" si="807"/>
        <v>63.212435233160626</v>
      </c>
      <c r="P835" s="49">
        <f t="shared" si="808"/>
        <v>5.7655954631379965E-2</v>
      </c>
      <c r="Q835" s="47">
        <f t="shared" si="809"/>
        <v>2.0725388601036272</v>
      </c>
      <c r="R835" s="66">
        <f t="shared" si="810"/>
        <v>22484.5</v>
      </c>
      <c r="S835" s="92">
        <f t="shared" si="811"/>
        <v>0</v>
      </c>
      <c r="T835" s="93">
        <f t="shared" si="812"/>
        <v>1.0362694300518136</v>
      </c>
      <c r="V835" s="98" t="str">
        <f t="shared" si="813"/>
        <v>NS</v>
      </c>
      <c r="W835" s="102">
        <f t="shared" si="814"/>
        <v>9.657908484991669</v>
      </c>
      <c r="X835" s="103">
        <f t="shared" si="815"/>
        <v>1.5722222574448056E-2</v>
      </c>
      <c r="Y835" s="122">
        <f t="shared" si="816"/>
        <v>0.99810964083175802</v>
      </c>
      <c r="Z835" s="123">
        <f t="shared" si="817"/>
        <v>5.7765151515151512E-2</v>
      </c>
      <c r="AA835" s="123">
        <f t="shared" si="818"/>
        <v>5.7655954631379965E-2</v>
      </c>
      <c r="AB835" s="124">
        <f t="shared" si="819"/>
        <v>1.0710266886253114E-2</v>
      </c>
    </row>
    <row r="836" spans="2:28" x14ac:dyDescent="0.3">
      <c r="B836" s="5" t="s">
        <v>7</v>
      </c>
      <c r="C836" s="1">
        <v>136</v>
      </c>
      <c r="D836" s="14">
        <v>0.77200000000000002</v>
      </c>
      <c r="E836" s="1">
        <v>120</v>
      </c>
      <c r="F836" s="1">
        <v>1</v>
      </c>
      <c r="G836" s="1">
        <v>32299</v>
      </c>
      <c r="H836" s="118">
        <f t="shared" si="804"/>
        <v>15</v>
      </c>
      <c r="I836" s="117"/>
      <c r="J836" s="117"/>
      <c r="K836" s="114">
        <f t="shared" si="802"/>
        <v>41838.0829015544</v>
      </c>
      <c r="L836" s="21">
        <f t="shared" si="803"/>
        <v>176.16580310880829</v>
      </c>
      <c r="M836" s="31">
        <f t="shared" si="805"/>
        <v>0</v>
      </c>
      <c r="N836" s="31">
        <f t="shared" si="806"/>
        <v>8.2644628099173556E-3</v>
      </c>
      <c r="O836" s="43">
        <f t="shared" si="807"/>
        <v>1.2953367875647668</v>
      </c>
      <c r="P836" s="49">
        <f t="shared" si="808"/>
        <v>7.3529411764705881E-3</v>
      </c>
      <c r="Q836" s="47">
        <f t="shared" si="809"/>
        <v>19.430051813471501</v>
      </c>
      <c r="R836" s="66">
        <f>IFERROR(G836/H836,20000)</f>
        <v>2153.2666666666669</v>
      </c>
      <c r="S836" s="92">
        <f t="shared" si="811"/>
        <v>1.2953367875647668</v>
      </c>
      <c r="T836" s="93">
        <f t="shared" si="812"/>
        <v>1.2953367875647668</v>
      </c>
      <c r="V836" s="98" t="str">
        <f t="shared" si="813"/>
        <v>NB</v>
      </c>
      <c r="W836" s="102">
        <f t="shared" si="814"/>
        <v>1365.8746989061599</v>
      </c>
      <c r="X836" s="103">
        <f t="shared" si="815"/>
        <v>2.8137877487369239E-3</v>
      </c>
      <c r="Y836" s="122">
        <f t="shared" si="816"/>
        <v>0.88970588235294112</v>
      </c>
      <c r="Z836" s="123">
        <f t="shared" si="817"/>
        <v>8.2644628099173556E-3</v>
      </c>
      <c r="AA836" s="123">
        <f t="shared" si="818"/>
        <v>7.3529411764705881E-3</v>
      </c>
      <c r="AB836" s="124">
        <f t="shared" si="819"/>
        <v>2.6099860190601709E-3</v>
      </c>
    </row>
    <row r="837" spans="2:28" x14ac:dyDescent="0.3">
      <c r="B837" s="5" t="s">
        <v>18</v>
      </c>
      <c r="C837" s="9">
        <v>27</v>
      </c>
      <c r="D837" s="15">
        <v>0.154</v>
      </c>
      <c r="E837" s="9">
        <v>27</v>
      </c>
      <c r="F837" s="9">
        <v>0</v>
      </c>
      <c r="G837" s="9">
        <v>7108</v>
      </c>
      <c r="H837" s="118">
        <f t="shared" si="804"/>
        <v>0</v>
      </c>
      <c r="I837" s="117"/>
      <c r="J837" s="117"/>
      <c r="K837" s="115">
        <f t="shared" si="802"/>
        <v>46155.844155844155</v>
      </c>
      <c r="L837" s="22">
        <f t="shared" si="803"/>
        <v>175.32467532467533</v>
      </c>
      <c r="M837" s="31">
        <v>0</v>
      </c>
      <c r="N837" s="31">
        <f t="shared" si="806"/>
        <v>0</v>
      </c>
      <c r="O837" s="44">
        <f t="shared" si="807"/>
        <v>0</v>
      </c>
      <c r="P837" s="49">
        <f t="shared" si="808"/>
        <v>0</v>
      </c>
      <c r="Q837" s="47">
        <f t="shared" si="809"/>
        <v>0</v>
      </c>
      <c r="R837" s="66">
        <f>IFERROR(G837/H837,20000)</f>
        <v>20000</v>
      </c>
      <c r="S837" s="92">
        <f t="shared" si="811"/>
        <v>0</v>
      </c>
      <c r="T837" s="93">
        <f t="shared" si="812"/>
        <v>0</v>
      </c>
      <c r="V837" s="98" t="str">
        <f t="shared" si="813"/>
        <v>PEI</v>
      </c>
      <c r="W837" s="102">
        <f t="shared" si="814"/>
        <v>500.97402597402595</v>
      </c>
      <c r="X837" s="103">
        <f t="shared" si="815"/>
        <v>2.5383870736000189E-3</v>
      </c>
      <c r="Y837" s="122">
        <f t="shared" si="816"/>
        <v>1</v>
      </c>
      <c r="Z837" s="123">
        <f t="shared" si="817"/>
        <v>0</v>
      </c>
      <c r="AA837" s="123">
        <f t="shared" si="818"/>
        <v>0</v>
      </c>
      <c r="AB837" s="124">
        <f t="shared" si="819"/>
        <v>2.7547726287620376E-3</v>
      </c>
    </row>
    <row r="838" spans="2:28" ht="15" thickBot="1" x14ac:dyDescent="0.35">
      <c r="B838" s="5" t="s">
        <v>11</v>
      </c>
      <c r="C838" s="9">
        <v>261</v>
      </c>
      <c r="D838" s="15">
        <v>0.52400000000000002</v>
      </c>
      <c r="E838" s="9">
        <v>256</v>
      </c>
      <c r="F838" s="9">
        <v>3</v>
      </c>
      <c r="G838" s="9">
        <v>12819</v>
      </c>
      <c r="H838" s="119">
        <f t="shared" si="804"/>
        <v>2</v>
      </c>
      <c r="I838" s="117"/>
      <c r="J838" s="117"/>
      <c r="K838" s="115">
        <f t="shared" si="802"/>
        <v>24463.740458015265</v>
      </c>
      <c r="L838" s="22">
        <f t="shared" si="803"/>
        <v>498.09160305343511</v>
      </c>
      <c r="M838" s="31">
        <f>(H838-H824)/H824</f>
        <v>0</v>
      </c>
      <c r="N838" s="32">
        <f t="shared" si="806"/>
        <v>1.1583011583011582E-2</v>
      </c>
      <c r="O838" s="44">
        <f t="shared" si="807"/>
        <v>5.7251908396946565</v>
      </c>
      <c r="P838" s="50">
        <f t="shared" si="808"/>
        <v>1.1494252873563218E-2</v>
      </c>
      <c r="Q838" s="48">
        <f t="shared" si="809"/>
        <v>3.8167938931297707</v>
      </c>
      <c r="R838" s="67">
        <f>G838/H838</f>
        <v>6409.5</v>
      </c>
      <c r="S838" s="92">
        <f t="shared" si="811"/>
        <v>0</v>
      </c>
      <c r="T838" s="93">
        <f t="shared" si="812"/>
        <v>0</v>
      </c>
      <c r="V838" s="99" t="str">
        <f t="shared" si="813"/>
        <v>NFLD</v>
      </c>
      <c r="W838" s="120">
        <f t="shared" si="814"/>
        <v>200.31517557251911</v>
      </c>
      <c r="X838" s="103">
        <f t="shared" si="815"/>
        <v>1.3605918409010563E-2</v>
      </c>
      <c r="Y838" s="122">
        <f t="shared" si="816"/>
        <v>0.9923371647509579</v>
      </c>
      <c r="Z838" s="123">
        <f t="shared" si="817"/>
        <v>1.1583011583011582E-2</v>
      </c>
      <c r="AA838" s="123">
        <f t="shared" si="818"/>
        <v>1.1494252873563218E-2</v>
      </c>
      <c r="AB838" s="124">
        <f t="shared" si="819"/>
        <v>9.7935079105291884E-3</v>
      </c>
    </row>
    <row r="839" spans="2:28" ht="15" thickBot="1" x14ac:dyDescent="0.35">
      <c r="B839" s="11" t="s">
        <v>10</v>
      </c>
      <c r="C839" s="12">
        <v>93726</v>
      </c>
      <c r="D839" s="16">
        <v>37.6</v>
      </c>
      <c r="E839" s="12">
        <v>51739</v>
      </c>
      <c r="F839" s="12">
        <v>7637</v>
      </c>
      <c r="G839" s="12">
        <f>SUM(G829:G838)</f>
        <v>1884476</v>
      </c>
      <c r="H839" s="81">
        <f t="shared" si="804"/>
        <v>34350</v>
      </c>
      <c r="I839" s="117"/>
      <c r="J839" s="117"/>
      <c r="K839" s="77">
        <f t="shared" si="802"/>
        <v>50119.042553191488</v>
      </c>
      <c r="L839" s="23">
        <f t="shared" si="803"/>
        <v>2492.7127659574467</v>
      </c>
      <c r="M839" s="31">
        <f>(H839-H825)/H825</f>
        <v>-5.4720750456006256E-3</v>
      </c>
      <c r="N839" s="33">
        <f t="shared" si="806"/>
        <v>0.12862099164645649</v>
      </c>
      <c r="O839" s="45">
        <f>F839/D839</f>
        <v>203.11170212765956</v>
      </c>
      <c r="P839" s="53">
        <f t="shared" si="808"/>
        <v>8.1482192774683646E-2</v>
      </c>
      <c r="Q839" s="55">
        <f t="shared" si="809"/>
        <v>913.563829787234</v>
      </c>
      <c r="R839" s="74">
        <f>G839/H839</f>
        <v>54.861018922852985</v>
      </c>
      <c r="S839" s="92">
        <f t="shared" si="811"/>
        <v>17.047872340425531</v>
      </c>
      <c r="T839" s="93">
        <f t="shared" si="812"/>
        <v>3.6968085106382977</v>
      </c>
      <c r="V839" s="108" t="str">
        <f t="shared" si="813"/>
        <v>Canada</v>
      </c>
      <c r="W839" s="109">
        <f t="shared" si="814"/>
        <v>14.633903368039384</v>
      </c>
      <c r="X839" s="103">
        <f t="shared" si="815"/>
        <v>3.3236170212765953E-2</v>
      </c>
      <c r="Y839" s="122">
        <f t="shared" si="816"/>
        <v>0.63350617758146088</v>
      </c>
      <c r="Z839" s="123">
        <f t="shared" si="817"/>
        <v>0.12862099164645649</v>
      </c>
      <c r="AA839" s="123">
        <f t="shared" si="818"/>
        <v>8.1482192774683646E-2</v>
      </c>
      <c r="AB839" s="124">
        <f t="shared" si="819"/>
        <v>2.2002127659574468E-2</v>
      </c>
    </row>
    <row r="840" spans="2:28" ht="15" thickBot="1" x14ac:dyDescent="0.35">
      <c r="B840" s="6" t="s">
        <v>9</v>
      </c>
      <c r="C840" s="7">
        <v>1917751</v>
      </c>
      <c r="D840" s="7">
        <v>327</v>
      </c>
      <c r="E840" s="7">
        <v>694515</v>
      </c>
      <c r="F840" s="7">
        <v>109985</v>
      </c>
      <c r="G840" s="7">
        <v>19436230</v>
      </c>
      <c r="H840" s="82">
        <f t="shared" si="804"/>
        <v>1113251</v>
      </c>
      <c r="I840" s="117"/>
      <c r="J840" s="117"/>
      <c r="K840" s="78">
        <f t="shared" si="802"/>
        <v>59438.012232415902</v>
      </c>
      <c r="L840" s="24">
        <f t="shared" si="803"/>
        <v>5864.6819571865444</v>
      </c>
      <c r="M840" s="31">
        <f>(H840-H826)/H826</f>
        <v>-2.0883117340005891E-2</v>
      </c>
      <c r="N840" s="33">
        <f t="shared" si="806"/>
        <v>0.13671224362958359</v>
      </c>
      <c r="O840" s="46">
        <f>F840/D840</f>
        <v>336.34556574923545</v>
      </c>
      <c r="P840" s="52">
        <f t="shared" si="808"/>
        <v>5.735103253759221E-2</v>
      </c>
      <c r="Q840" s="54">
        <f t="shared" si="809"/>
        <v>3404.4373088685015</v>
      </c>
      <c r="R840" s="72">
        <f>G840/H840</f>
        <v>17.458982745131152</v>
      </c>
      <c r="S840" s="92">
        <f t="shared" si="811"/>
        <v>69.13455657492355</v>
      </c>
      <c r="T840" s="93">
        <f t="shared" si="812"/>
        <v>3.7064220183486238</v>
      </c>
      <c r="V840" s="108" t="str">
        <f t="shared" si="813"/>
        <v>USA</v>
      </c>
      <c r="W840" s="109">
        <f t="shared" si="814"/>
        <v>33.255498935147699</v>
      </c>
      <c r="X840" s="103">
        <f t="shared" si="815"/>
        <v>6.5935862373464757E-2</v>
      </c>
      <c r="Y840" s="122">
        <f t="shared" si="816"/>
        <v>0.41950180185018804</v>
      </c>
      <c r="Z840" s="123">
        <f t="shared" si="817"/>
        <v>0.13671224362958359</v>
      </c>
      <c r="AA840" s="123">
        <f t="shared" si="818"/>
        <v>5.735103253759221E-2</v>
      </c>
      <c r="AB840" s="124">
        <f t="shared" si="819"/>
        <v>5.5608739216050647E-2</v>
      </c>
    </row>
    <row r="841" spans="2:28" ht="15" thickBot="1" x14ac:dyDescent="0.35"/>
    <row r="842" spans="2:28" ht="58.2" thickBot="1" x14ac:dyDescent="0.35">
      <c r="B842" s="96">
        <v>38504</v>
      </c>
      <c r="C842" s="18" t="s">
        <v>8</v>
      </c>
      <c r="D842" s="19" t="s">
        <v>17</v>
      </c>
      <c r="E842" s="19" t="s">
        <v>15</v>
      </c>
      <c r="F842" s="19" t="s">
        <v>16</v>
      </c>
      <c r="G842" s="19" t="s">
        <v>14</v>
      </c>
      <c r="H842" s="20" t="s">
        <v>38</v>
      </c>
      <c r="I842" s="116"/>
      <c r="J842" s="116"/>
      <c r="K842" s="19" t="s">
        <v>21</v>
      </c>
      <c r="L842" s="19" t="s">
        <v>20</v>
      </c>
      <c r="M842" s="19" t="s">
        <v>40</v>
      </c>
      <c r="N842" s="19" t="s">
        <v>32</v>
      </c>
      <c r="O842" s="19" t="s">
        <v>22</v>
      </c>
      <c r="P842" s="51" t="s">
        <v>34</v>
      </c>
      <c r="Q842" s="20" t="s">
        <v>35</v>
      </c>
      <c r="R842" s="63" t="s">
        <v>39</v>
      </c>
      <c r="S842" s="91" t="s">
        <v>43</v>
      </c>
      <c r="T842" s="91" t="s">
        <v>44</v>
      </c>
      <c r="V842" s="104" t="s">
        <v>48</v>
      </c>
      <c r="W842" s="105" t="s">
        <v>49</v>
      </c>
      <c r="X842" s="106" t="s">
        <v>50</v>
      </c>
      <c r="Y842" s="61" t="s">
        <v>52</v>
      </c>
      <c r="Z842" s="61" t="s">
        <v>55</v>
      </c>
      <c r="AA842" s="61" t="s">
        <v>56</v>
      </c>
      <c r="AB842" s="61" t="s">
        <v>54</v>
      </c>
    </row>
    <row r="843" spans="2:28" x14ac:dyDescent="0.3">
      <c r="B843" s="3" t="s">
        <v>0</v>
      </c>
      <c r="C843" s="1">
        <v>29747</v>
      </c>
      <c r="D843" s="14">
        <v>14.45</v>
      </c>
      <c r="E843" s="1">
        <v>23583</v>
      </c>
      <c r="F843" s="1">
        <v>2372</v>
      </c>
      <c r="G843" s="1">
        <v>809053</v>
      </c>
      <c r="H843" s="118">
        <f>C843-E843-F843</f>
        <v>3792</v>
      </c>
      <c r="I843" s="117"/>
      <c r="J843" s="117"/>
      <c r="K843" s="114">
        <f t="shared" ref="K843:K854" si="820">G843/D843</f>
        <v>55989.826989619381</v>
      </c>
      <c r="L843" s="21">
        <f t="shared" ref="L843:L854" si="821">C843/D843</f>
        <v>2058.6159169550174</v>
      </c>
      <c r="M843" s="31">
        <f>(H843-H829)/H829</f>
        <v>-1.1985409067222511E-2</v>
      </c>
      <c r="N843" s="31">
        <f>F843/(E843+F843)</f>
        <v>9.1388942400308232E-2</v>
      </c>
      <c r="O843" s="43">
        <f>F843/D843</f>
        <v>164.15224913494811</v>
      </c>
      <c r="P843" s="49">
        <f>F843/C843</f>
        <v>7.9739133357985673E-2</v>
      </c>
      <c r="Q843" s="47">
        <f>(C843-E843-F843)/D843</f>
        <v>262.42214532871975</v>
      </c>
      <c r="R843" s="66">
        <f>G843/H843</f>
        <v>213.35785864978902</v>
      </c>
      <c r="S843" s="92">
        <f>(C843-C829)/D843</f>
        <v>23.806228373702425</v>
      </c>
      <c r="T843" s="93">
        <f>(F843-F829)/D843</f>
        <v>1.0380622837370244</v>
      </c>
      <c r="V843" s="101" t="str">
        <f>B843</f>
        <v>ON</v>
      </c>
      <c r="W843" s="102">
        <f>L843/180+IFERROR((D843*C843*13)/(F843*F843),500)</f>
        <v>12.429928320550937</v>
      </c>
      <c r="X843" s="103">
        <f>L843/75000*K$853/K843</f>
        <v>2.5079141737227445E-2</v>
      </c>
      <c r="Y843" s="122">
        <f>(E843+F843)/C843</f>
        <v>0.87252496050021855</v>
      </c>
      <c r="Z843" s="123">
        <f>N843</f>
        <v>9.1388942400308232E-2</v>
      </c>
      <c r="AA843" s="123">
        <f>P843</f>
        <v>7.9739133357985673E-2</v>
      </c>
      <c r="AB843" s="124">
        <f>X479</f>
        <v>1.8073476986841103E-2</v>
      </c>
    </row>
    <row r="844" spans="2:28" x14ac:dyDescent="0.3">
      <c r="B844" s="5" t="s">
        <v>1</v>
      </c>
      <c r="C844" s="1">
        <v>52398</v>
      </c>
      <c r="D844" s="14">
        <v>8.43</v>
      </c>
      <c r="E844" s="1">
        <v>17764</v>
      </c>
      <c r="F844" s="1">
        <v>4935</v>
      </c>
      <c r="G844" s="1">
        <f>424619+52398+12490</f>
        <v>489507</v>
      </c>
      <c r="H844" s="118">
        <f t="shared" ref="H844:H854" si="822">C844-E844-F844</f>
        <v>29699</v>
      </c>
      <c r="I844" s="117"/>
      <c r="J844" s="117"/>
      <c r="K844" s="114">
        <f t="shared" si="820"/>
        <v>58067.259786476869</v>
      </c>
      <c r="L844" s="21">
        <f t="shared" si="821"/>
        <v>6215.6583629893239</v>
      </c>
      <c r="M844" s="31">
        <f t="shared" ref="M844:M850" si="823">(H844-H830)/H830</f>
        <v>-7.4527103803221709E-3</v>
      </c>
      <c r="N844" s="31">
        <f t="shared" ref="N844:N854" si="824">F844/(E844+F844)</f>
        <v>0.21741045861051148</v>
      </c>
      <c r="O844" s="43">
        <f t="shared" ref="O844:O852" si="825">F844/D844</f>
        <v>585.40925266903912</v>
      </c>
      <c r="P844" s="49">
        <f t="shared" ref="P844:P854" si="826">F844/C844</f>
        <v>9.4182984083361954E-2</v>
      </c>
      <c r="Q844" s="47">
        <f t="shared" ref="Q844:Q854" si="827">(C844-E844-F844)/D844</f>
        <v>3523.0130486358244</v>
      </c>
      <c r="R844" s="66">
        <f t="shared" ref="R844:R849" si="828">G844/H844</f>
        <v>16.48227213037476</v>
      </c>
      <c r="S844" s="92">
        <f t="shared" ref="S844:S854" si="829">(C844-C830)/D844</f>
        <v>30.2491103202847</v>
      </c>
      <c r="T844" s="93">
        <f t="shared" ref="T844:T854" si="830">(F844-F830)/D844</f>
        <v>5.9311981020166078</v>
      </c>
      <c r="V844" s="98" t="str">
        <f t="shared" ref="V844:V854" si="831">B844</f>
        <v>QC</v>
      </c>
      <c r="W844" s="102">
        <f t="shared" ref="W844:W854" si="832">L844/180+IFERROR((D844*C844*13)/(F844*F844),500)</f>
        <v>34.767217717065897</v>
      </c>
      <c r="X844" s="103">
        <f t="shared" ref="X844:X854" si="833">L844/75000*K$853/K844</f>
        <v>7.3013349623279253E-2</v>
      </c>
      <c r="Y844" s="122">
        <f t="shared" ref="Y844:Y854" si="834">(E844+F844)/C844</f>
        <v>0.43320355738768657</v>
      </c>
      <c r="Z844" s="123">
        <f t="shared" ref="Z844:Z854" si="835">N844</f>
        <v>0.21741045861051148</v>
      </c>
      <c r="AA844" s="123">
        <f t="shared" ref="AA844:AA854" si="836">P844</f>
        <v>9.4182984083361954E-2</v>
      </c>
      <c r="AB844" s="124">
        <f t="shared" ref="AB844:AB854" si="837">X480</f>
        <v>5.142707804211627E-2</v>
      </c>
    </row>
    <row r="845" spans="2:28" x14ac:dyDescent="0.3">
      <c r="B845" s="5" t="s">
        <v>2</v>
      </c>
      <c r="C845" s="1">
        <v>2632</v>
      </c>
      <c r="D845" s="14">
        <v>5.0199999999999996</v>
      </c>
      <c r="E845" s="1">
        <v>2272</v>
      </c>
      <c r="F845" s="1">
        <v>167</v>
      </c>
      <c r="G845" s="95">
        <v>147757</v>
      </c>
      <c r="H845" s="118">
        <f t="shared" si="822"/>
        <v>193</v>
      </c>
      <c r="I845" s="117"/>
      <c r="J845" s="117"/>
      <c r="K845" s="114">
        <f t="shared" si="820"/>
        <v>29433.66533864542</v>
      </c>
      <c r="L845" s="21">
        <f t="shared" si="821"/>
        <v>524.30278884462155</v>
      </c>
      <c r="M845" s="31">
        <f t="shared" si="823"/>
        <v>-3.9800995024875621E-2</v>
      </c>
      <c r="N845" s="31">
        <f t="shared" si="824"/>
        <v>6.8470684706847071E-2</v>
      </c>
      <c r="O845" s="43">
        <f t="shared" si="825"/>
        <v>33.266932270916335</v>
      </c>
      <c r="P845" s="49">
        <f t="shared" si="826"/>
        <v>6.3449848024316108E-2</v>
      </c>
      <c r="Q845" s="47">
        <f t="shared" si="827"/>
        <v>38.446215139442238</v>
      </c>
      <c r="R845" s="66">
        <f t="shared" si="828"/>
        <v>765.58031088082896</v>
      </c>
      <c r="S845" s="92">
        <f t="shared" si="829"/>
        <v>0</v>
      </c>
      <c r="T845" s="93">
        <f t="shared" si="830"/>
        <v>0.19920318725099603</v>
      </c>
      <c r="V845" s="98" t="str">
        <f t="shared" si="831"/>
        <v>BC</v>
      </c>
      <c r="W845" s="102">
        <f t="shared" si="832"/>
        <v>9.0716487340862493</v>
      </c>
      <c r="X845" s="103">
        <f t="shared" si="833"/>
        <v>1.2150224129257271E-2</v>
      </c>
      <c r="Y845" s="122">
        <f t="shared" si="834"/>
        <v>0.92667173252279633</v>
      </c>
      <c r="Z845" s="123">
        <f t="shared" si="835"/>
        <v>6.8470684706847071E-2</v>
      </c>
      <c r="AA845" s="123">
        <f t="shared" si="836"/>
        <v>6.3449848024316108E-2</v>
      </c>
      <c r="AB845" s="124">
        <f t="shared" si="837"/>
        <v>7.9529376863913728E-3</v>
      </c>
    </row>
    <row r="846" spans="2:28" x14ac:dyDescent="0.3">
      <c r="B846" s="5" t="s">
        <v>3</v>
      </c>
      <c r="C846" s="1">
        <v>7098</v>
      </c>
      <c r="D846" s="14">
        <v>4.34</v>
      </c>
      <c r="E846" s="1">
        <v>6624</v>
      </c>
      <c r="F846" s="1">
        <v>146</v>
      </c>
      <c r="G846" s="1">
        <v>281979</v>
      </c>
      <c r="H846" s="118">
        <f t="shared" si="822"/>
        <v>328</v>
      </c>
      <c r="I846" s="117"/>
      <c r="J846" s="117"/>
      <c r="K846" s="114">
        <f t="shared" si="820"/>
        <v>64972.119815668208</v>
      </c>
      <c r="L846" s="21">
        <f t="shared" si="821"/>
        <v>1635.483870967742</v>
      </c>
      <c r="M846" s="31">
        <f t="shared" si="823"/>
        <v>-1.7964071856287425E-2</v>
      </c>
      <c r="N846" s="31">
        <f t="shared" si="824"/>
        <v>2.1565731166912849E-2</v>
      </c>
      <c r="O846" s="43">
        <f t="shared" si="825"/>
        <v>33.640552995391708</v>
      </c>
      <c r="P846" s="49">
        <f t="shared" si="826"/>
        <v>2.056917441532826E-2</v>
      </c>
      <c r="Q846" s="47">
        <f t="shared" si="827"/>
        <v>75.576036866359445</v>
      </c>
      <c r="R846" s="66">
        <f t="shared" si="828"/>
        <v>859.69207317073176</v>
      </c>
      <c r="S846" s="92">
        <f t="shared" si="829"/>
        <v>1.6129032258064517</v>
      </c>
      <c r="T846" s="93">
        <f t="shared" si="830"/>
        <v>0</v>
      </c>
      <c r="V846" s="98" t="str">
        <f t="shared" si="831"/>
        <v>AL</v>
      </c>
      <c r="W846" s="102">
        <f t="shared" si="832"/>
        <v>27.873278026299595</v>
      </c>
      <c r="X846" s="103">
        <f t="shared" si="833"/>
        <v>1.7169818251894869E-2</v>
      </c>
      <c r="Y846" s="122">
        <f t="shared" si="834"/>
        <v>0.9537897999436461</v>
      </c>
      <c r="Z846" s="123">
        <f t="shared" si="835"/>
        <v>2.1565731166912849E-2</v>
      </c>
      <c r="AA846" s="123">
        <f t="shared" si="836"/>
        <v>2.056917441532826E-2</v>
      </c>
      <c r="AB846" s="124">
        <f t="shared" si="837"/>
        <v>1.234531687123356E-2</v>
      </c>
    </row>
    <row r="847" spans="2:28" x14ac:dyDescent="0.3">
      <c r="B847" s="5" t="s">
        <v>4</v>
      </c>
      <c r="C847" s="1">
        <v>300</v>
      </c>
      <c r="D847" s="14">
        <v>1.36</v>
      </c>
      <c r="E847" s="1">
        <v>284</v>
      </c>
      <c r="F847" s="1">
        <v>7</v>
      </c>
      <c r="G847" s="1">
        <v>47372</v>
      </c>
      <c r="H847" s="118">
        <f t="shared" si="822"/>
        <v>9</v>
      </c>
      <c r="I847" s="117"/>
      <c r="J847" s="117"/>
      <c r="K847" s="114">
        <f t="shared" si="820"/>
        <v>34832.352941176468</v>
      </c>
      <c r="L847" s="21">
        <f t="shared" si="821"/>
        <v>220.58823529411762</v>
      </c>
      <c r="M847" s="31">
        <f t="shared" si="823"/>
        <v>0.2857142857142857</v>
      </c>
      <c r="N847" s="31">
        <f t="shared" si="824"/>
        <v>2.4054982817869417E-2</v>
      </c>
      <c r="O847" s="43">
        <f t="shared" si="825"/>
        <v>5.1470588235294112</v>
      </c>
      <c r="P847" s="49">
        <f t="shared" si="826"/>
        <v>2.3333333333333334E-2</v>
      </c>
      <c r="Q847" s="47">
        <f t="shared" si="827"/>
        <v>6.617647058823529</v>
      </c>
      <c r="R847" s="66">
        <f t="shared" si="828"/>
        <v>5263.5555555555557</v>
      </c>
      <c r="S847" s="92">
        <f t="shared" si="829"/>
        <v>1.4705882352941175</v>
      </c>
      <c r="T847" s="93">
        <f t="shared" si="830"/>
        <v>0</v>
      </c>
      <c r="V847" s="98" t="str">
        <f t="shared" si="831"/>
        <v>MA</v>
      </c>
      <c r="W847" s="102">
        <f t="shared" si="832"/>
        <v>109.47038815526211</v>
      </c>
      <c r="X847" s="103">
        <f t="shared" si="833"/>
        <v>4.3196245739919982E-3</v>
      </c>
      <c r="Y847" s="122">
        <f t="shared" si="834"/>
        <v>0.97</v>
      </c>
      <c r="Z847" s="123">
        <f t="shared" si="835"/>
        <v>2.4054982817869417E-2</v>
      </c>
      <c r="AA847" s="123">
        <f t="shared" si="836"/>
        <v>2.3333333333333334E-2</v>
      </c>
      <c r="AB847" s="124">
        <f t="shared" si="837"/>
        <v>3.5308301461804041E-3</v>
      </c>
    </row>
    <row r="848" spans="2:28" x14ac:dyDescent="0.3">
      <c r="B848" s="5" t="s">
        <v>5</v>
      </c>
      <c r="C848" s="1">
        <v>649</v>
      </c>
      <c r="D848" s="14">
        <v>1.17</v>
      </c>
      <c r="E848" s="1">
        <v>611</v>
      </c>
      <c r="F848" s="1">
        <v>11</v>
      </c>
      <c r="G848" s="1">
        <v>49132</v>
      </c>
      <c r="H848" s="118">
        <f t="shared" si="822"/>
        <v>27</v>
      </c>
      <c r="I848" s="117"/>
      <c r="J848" s="117"/>
      <c r="K848" s="114">
        <f t="shared" si="820"/>
        <v>41993.162393162398</v>
      </c>
      <c r="L848" s="21">
        <f t="shared" si="821"/>
        <v>554.70085470085473</v>
      </c>
      <c r="M848" s="31">
        <f t="shared" si="823"/>
        <v>-6.8965517241379309E-2</v>
      </c>
      <c r="N848" s="31">
        <f t="shared" si="824"/>
        <v>1.7684887459807074E-2</v>
      </c>
      <c r="O848" s="43">
        <f t="shared" si="825"/>
        <v>9.4017094017094021</v>
      </c>
      <c r="P848" s="49">
        <f t="shared" si="826"/>
        <v>1.6949152542372881E-2</v>
      </c>
      <c r="Q848" s="47">
        <f t="shared" si="827"/>
        <v>23.076923076923077</v>
      </c>
      <c r="R848" s="66">
        <f t="shared" si="828"/>
        <v>1819.7037037037037</v>
      </c>
      <c r="S848" s="92">
        <f t="shared" si="829"/>
        <v>0.85470085470085477</v>
      </c>
      <c r="T848" s="93">
        <f t="shared" si="830"/>
        <v>0</v>
      </c>
      <c r="V848" s="98" t="str">
        <f t="shared" si="831"/>
        <v>SA</v>
      </c>
      <c r="W848" s="102">
        <f t="shared" si="832"/>
        <v>84.662580505913837</v>
      </c>
      <c r="X848" s="103">
        <f t="shared" si="833"/>
        <v>9.010040075858752E-3</v>
      </c>
      <c r="Y848" s="122">
        <f t="shared" si="834"/>
        <v>0.95839753466872113</v>
      </c>
      <c r="Z848" s="123">
        <f t="shared" si="835"/>
        <v>1.7684887459807074E-2</v>
      </c>
      <c r="AA848" s="123">
        <f t="shared" si="836"/>
        <v>1.6949152542372881E-2</v>
      </c>
      <c r="AB848" s="124">
        <f t="shared" si="837"/>
        <v>5.3806131370463762E-3</v>
      </c>
    </row>
    <row r="849" spans="2:28" x14ac:dyDescent="0.3">
      <c r="B849" s="5" t="s">
        <v>6</v>
      </c>
      <c r="C849" s="1">
        <v>1058</v>
      </c>
      <c r="D849" s="14">
        <v>0.96499999999999997</v>
      </c>
      <c r="E849" s="1">
        <v>996</v>
      </c>
      <c r="F849" s="1">
        <v>61</v>
      </c>
      <c r="G849" s="1">
        <f>44477+C849</f>
        <v>45535</v>
      </c>
      <c r="H849" s="118">
        <f t="shared" si="822"/>
        <v>1</v>
      </c>
      <c r="I849" s="117"/>
      <c r="J849" s="117"/>
      <c r="K849" s="114">
        <f t="shared" si="820"/>
        <v>47186.52849740933</v>
      </c>
      <c r="L849" s="21">
        <f t="shared" si="821"/>
        <v>1096.3730569948186</v>
      </c>
      <c r="M849" s="31">
        <f t="shared" si="823"/>
        <v>-0.5</v>
      </c>
      <c r="N849" s="31">
        <f t="shared" si="824"/>
        <v>5.7710501419110688E-2</v>
      </c>
      <c r="O849" s="43">
        <f t="shared" si="825"/>
        <v>63.212435233160626</v>
      </c>
      <c r="P849" s="49">
        <f t="shared" si="826"/>
        <v>5.7655954631379965E-2</v>
      </c>
      <c r="Q849" s="47">
        <f t="shared" si="827"/>
        <v>1.0362694300518136</v>
      </c>
      <c r="R849" s="66">
        <f t="shared" si="828"/>
        <v>45535</v>
      </c>
      <c r="S849" s="92">
        <f t="shared" si="829"/>
        <v>0</v>
      </c>
      <c r="T849" s="93">
        <f t="shared" si="830"/>
        <v>0</v>
      </c>
      <c r="V849" s="98" t="str">
        <f t="shared" si="831"/>
        <v>NS</v>
      </c>
      <c r="W849" s="102">
        <f t="shared" si="832"/>
        <v>9.657908484991669</v>
      </c>
      <c r="X849" s="103">
        <f t="shared" si="833"/>
        <v>1.5848450066078077E-2</v>
      </c>
      <c r="Y849" s="122">
        <f t="shared" si="834"/>
        <v>0.99905482041587901</v>
      </c>
      <c r="Z849" s="123">
        <f t="shared" si="835"/>
        <v>5.7710501419110688E-2</v>
      </c>
      <c r="AA849" s="123">
        <f t="shared" si="836"/>
        <v>5.7655954631379965E-2</v>
      </c>
      <c r="AB849" s="124">
        <f t="shared" si="837"/>
        <v>1.08270733494057E-2</v>
      </c>
    </row>
    <row r="850" spans="2:28" x14ac:dyDescent="0.3">
      <c r="B850" s="5" t="s">
        <v>7</v>
      </c>
      <c r="C850" s="1">
        <v>136</v>
      </c>
      <c r="D850" s="14">
        <v>0.77200000000000002</v>
      </c>
      <c r="E850" s="1">
        <v>121</v>
      </c>
      <c r="F850" s="1">
        <v>1</v>
      </c>
      <c r="G850" s="1">
        <v>32954</v>
      </c>
      <c r="H850" s="118">
        <f t="shared" si="822"/>
        <v>14</v>
      </c>
      <c r="I850" s="117"/>
      <c r="J850" s="117"/>
      <c r="K850" s="114">
        <f t="shared" si="820"/>
        <v>42686.528497409323</v>
      </c>
      <c r="L850" s="21">
        <f t="shared" si="821"/>
        <v>176.16580310880829</v>
      </c>
      <c r="M850" s="31">
        <f t="shared" si="823"/>
        <v>-6.6666666666666666E-2</v>
      </c>
      <c r="N850" s="31">
        <f t="shared" si="824"/>
        <v>8.1967213114754103E-3</v>
      </c>
      <c r="O850" s="43">
        <f t="shared" si="825"/>
        <v>1.2953367875647668</v>
      </c>
      <c r="P850" s="49">
        <f t="shared" si="826"/>
        <v>7.3529411764705881E-3</v>
      </c>
      <c r="Q850" s="47">
        <f t="shared" si="827"/>
        <v>18.134715025906736</v>
      </c>
      <c r="R850" s="66">
        <f>IFERROR(G850/H850,20000)</f>
        <v>2353.8571428571427</v>
      </c>
      <c r="S850" s="92">
        <f t="shared" si="829"/>
        <v>0</v>
      </c>
      <c r="T850" s="93">
        <f t="shared" si="830"/>
        <v>0</v>
      </c>
      <c r="V850" s="98" t="str">
        <f t="shared" si="831"/>
        <v>NB</v>
      </c>
      <c r="W850" s="102">
        <f t="shared" si="832"/>
        <v>1365.8746989061599</v>
      </c>
      <c r="X850" s="103">
        <f t="shared" si="833"/>
        <v>2.8149924868406729E-3</v>
      </c>
      <c r="Y850" s="122">
        <f t="shared" si="834"/>
        <v>0.8970588235294118</v>
      </c>
      <c r="Z850" s="123">
        <f t="shared" si="835"/>
        <v>8.1967213114754103E-3</v>
      </c>
      <c r="AA850" s="123">
        <f t="shared" si="836"/>
        <v>7.3529411764705881E-3</v>
      </c>
      <c r="AB850" s="124">
        <f t="shared" si="837"/>
        <v>2.6074712989907827E-3</v>
      </c>
    </row>
    <row r="851" spans="2:28" x14ac:dyDescent="0.3">
      <c r="B851" s="5" t="s">
        <v>18</v>
      </c>
      <c r="C851" s="9">
        <v>27</v>
      </c>
      <c r="D851" s="15">
        <v>0.154</v>
      </c>
      <c r="E851" s="9">
        <v>27</v>
      </c>
      <c r="F851" s="9">
        <v>0</v>
      </c>
      <c r="G851" s="9">
        <v>7274</v>
      </c>
      <c r="H851" s="118">
        <f t="shared" si="822"/>
        <v>0</v>
      </c>
      <c r="I851" s="117"/>
      <c r="J851" s="117"/>
      <c r="K851" s="115">
        <f t="shared" si="820"/>
        <v>47233.766233766233</v>
      </c>
      <c r="L851" s="22">
        <f t="shared" si="821"/>
        <v>175.32467532467533</v>
      </c>
      <c r="M851" s="31">
        <v>0</v>
      </c>
      <c r="N851" s="31">
        <f t="shared" si="824"/>
        <v>0</v>
      </c>
      <c r="O851" s="44">
        <f t="shared" si="825"/>
        <v>0</v>
      </c>
      <c r="P851" s="49">
        <f t="shared" si="826"/>
        <v>0</v>
      </c>
      <c r="Q851" s="47">
        <f t="shared" si="827"/>
        <v>0</v>
      </c>
      <c r="R851" s="66">
        <f>IFERROR(G851/H851,20000)</f>
        <v>20000</v>
      </c>
      <c r="S851" s="92">
        <f t="shared" si="829"/>
        <v>0</v>
      </c>
      <c r="T851" s="93">
        <f t="shared" si="830"/>
        <v>0</v>
      </c>
      <c r="V851" s="98" t="str">
        <f t="shared" si="831"/>
        <v>PEI</v>
      </c>
      <c r="W851" s="102">
        <f t="shared" si="832"/>
        <v>500.97402597402595</v>
      </c>
      <c r="X851" s="103">
        <f t="shared" si="833"/>
        <v>2.5318439618811392E-3</v>
      </c>
      <c r="Y851" s="122">
        <f t="shared" si="834"/>
        <v>1</v>
      </c>
      <c r="Z851" s="123">
        <f t="shared" si="835"/>
        <v>0</v>
      </c>
      <c r="AA851" s="123">
        <f t="shared" si="836"/>
        <v>0</v>
      </c>
      <c r="AB851" s="124">
        <f t="shared" si="837"/>
        <v>2.6394960434134472E-3</v>
      </c>
    </row>
    <row r="852" spans="2:28" ht="15" thickBot="1" x14ac:dyDescent="0.35">
      <c r="B852" s="5" t="s">
        <v>11</v>
      </c>
      <c r="C852" s="9">
        <v>261</v>
      </c>
      <c r="D852" s="15">
        <v>0.52400000000000002</v>
      </c>
      <c r="E852" s="9">
        <v>256</v>
      </c>
      <c r="F852" s="9">
        <v>3</v>
      </c>
      <c r="G852" s="9">
        <v>12952</v>
      </c>
      <c r="H852" s="119">
        <f t="shared" si="822"/>
        <v>2</v>
      </c>
      <c r="I852" s="117"/>
      <c r="J852" s="117"/>
      <c r="K852" s="115">
        <f t="shared" si="820"/>
        <v>24717.557251908394</v>
      </c>
      <c r="L852" s="22">
        <f t="shared" si="821"/>
        <v>498.09160305343511</v>
      </c>
      <c r="M852" s="31">
        <f>(H852-H838)/H838</f>
        <v>0</v>
      </c>
      <c r="N852" s="32">
        <f t="shared" si="824"/>
        <v>1.1583011583011582E-2</v>
      </c>
      <c r="O852" s="44">
        <f t="shared" si="825"/>
        <v>5.7251908396946565</v>
      </c>
      <c r="P852" s="50">
        <f t="shared" si="826"/>
        <v>1.1494252873563218E-2</v>
      </c>
      <c r="Q852" s="48">
        <f t="shared" si="827"/>
        <v>3.8167938931297707</v>
      </c>
      <c r="R852" s="67">
        <f>G852/H852</f>
        <v>6476</v>
      </c>
      <c r="S852" s="92">
        <f t="shared" si="829"/>
        <v>0</v>
      </c>
      <c r="T852" s="93">
        <f t="shared" si="830"/>
        <v>0</v>
      </c>
      <c r="V852" s="99" t="str">
        <f t="shared" si="831"/>
        <v>NFLD</v>
      </c>
      <c r="W852" s="120">
        <f t="shared" si="832"/>
        <v>200.31517557251911</v>
      </c>
      <c r="X852" s="103">
        <f t="shared" si="833"/>
        <v>1.3745170794291198E-2</v>
      </c>
      <c r="Y852" s="122">
        <f t="shared" si="834"/>
        <v>0.9923371647509579</v>
      </c>
      <c r="Z852" s="123">
        <f t="shared" si="835"/>
        <v>1.1583011583011582E-2</v>
      </c>
      <c r="AA852" s="123">
        <f t="shared" si="836"/>
        <v>1.1494252873563218E-2</v>
      </c>
      <c r="AB852" s="124">
        <f t="shared" si="837"/>
        <v>9.8353176001879858E-3</v>
      </c>
    </row>
    <row r="853" spans="2:28" ht="15" thickBot="1" x14ac:dyDescent="0.35">
      <c r="B853" s="11" t="s">
        <v>10</v>
      </c>
      <c r="C853" s="12">
        <v>94335</v>
      </c>
      <c r="D853" s="16">
        <v>37.6</v>
      </c>
      <c r="E853" s="12">
        <v>52568</v>
      </c>
      <c r="F853" s="12">
        <v>7703</v>
      </c>
      <c r="G853" s="12">
        <f>SUM(G843:G852)</f>
        <v>1923515</v>
      </c>
      <c r="H853" s="81">
        <f t="shared" si="822"/>
        <v>34064</v>
      </c>
      <c r="I853" s="117"/>
      <c r="J853" s="117"/>
      <c r="K853" s="77">
        <f t="shared" si="820"/>
        <v>51157.313829787236</v>
      </c>
      <c r="L853" s="23">
        <f t="shared" si="821"/>
        <v>2508.9095744680849</v>
      </c>
      <c r="M853" s="31">
        <f>(H853-H839)/H839</f>
        <v>-8.3260553129548762E-3</v>
      </c>
      <c r="N853" s="33">
        <f t="shared" si="824"/>
        <v>0.12780607589056098</v>
      </c>
      <c r="O853" s="45">
        <f>F853/D853</f>
        <v>204.86702127659575</v>
      </c>
      <c r="P853" s="53">
        <f t="shared" si="826"/>
        <v>8.1655801134255579E-2</v>
      </c>
      <c r="Q853" s="55">
        <f t="shared" si="827"/>
        <v>905.95744680851055</v>
      </c>
      <c r="R853" s="74">
        <f>G853/H853</f>
        <v>56.467678487552838</v>
      </c>
      <c r="S853" s="92">
        <f t="shared" si="829"/>
        <v>16.196808510638299</v>
      </c>
      <c r="T853" s="93">
        <f t="shared" si="830"/>
        <v>1.7553191489361701</v>
      </c>
      <c r="V853" s="108" t="str">
        <f t="shared" si="831"/>
        <v>Canada</v>
      </c>
      <c r="W853" s="109">
        <f t="shared" si="832"/>
        <v>14.71549967001874</v>
      </c>
      <c r="X853" s="103">
        <f t="shared" si="833"/>
        <v>3.3452127659574463E-2</v>
      </c>
      <c r="Y853" s="122">
        <f t="shared" si="834"/>
        <v>0.63890390629140825</v>
      </c>
      <c r="Z853" s="123">
        <f t="shared" si="835"/>
        <v>0.12780607589056098</v>
      </c>
      <c r="AA853" s="123">
        <f t="shared" si="836"/>
        <v>8.1655801134255579E-2</v>
      </c>
      <c r="AB853" s="124">
        <f t="shared" si="837"/>
        <v>2.2491489361702127E-2</v>
      </c>
    </row>
    <row r="854" spans="2:28" ht="15" thickBot="1" x14ac:dyDescent="0.35">
      <c r="B854" s="6" t="s">
        <v>9</v>
      </c>
      <c r="C854" s="7">
        <v>1951351</v>
      </c>
      <c r="D854" s="7">
        <v>327</v>
      </c>
      <c r="E854" s="7">
        <v>718330</v>
      </c>
      <c r="F854" s="7">
        <v>111269</v>
      </c>
      <c r="G854" s="7">
        <v>20153412</v>
      </c>
      <c r="H854" s="82">
        <f t="shared" si="822"/>
        <v>1121752</v>
      </c>
      <c r="I854" s="117"/>
      <c r="J854" s="117"/>
      <c r="K854" s="78">
        <f t="shared" si="820"/>
        <v>61631.229357798162</v>
      </c>
      <c r="L854" s="24">
        <f t="shared" si="821"/>
        <v>5967.434250764526</v>
      </c>
      <c r="M854" s="31">
        <f>(H854-H840)/H840</f>
        <v>7.6361934550249677E-3</v>
      </c>
      <c r="N854" s="33">
        <f t="shared" si="824"/>
        <v>0.1341238357326853</v>
      </c>
      <c r="O854" s="46">
        <f>F854/D854</f>
        <v>340.27217125382265</v>
      </c>
      <c r="P854" s="52">
        <f t="shared" si="826"/>
        <v>5.702151996232354E-2</v>
      </c>
      <c r="Q854" s="54">
        <f t="shared" si="827"/>
        <v>3430.434250764526</v>
      </c>
      <c r="R854" s="72">
        <f>G854/H854</f>
        <v>17.96601387829039</v>
      </c>
      <c r="S854" s="92">
        <f t="shared" si="829"/>
        <v>102.75229357798165</v>
      </c>
      <c r="T854" s="93">
        <f t="shared" si="830"/>
        <v>3.926605504587156</v>
      </c>
      <c r="V854" s="108" t="str">
        <f t="shared" si="831"/>
        <v>USA</v>
      </c>
      <c r="W854" s="109">
        <f t="shared" si="832"/>
        <v>33.822417637936582</v>
      </c>
      <c r="X854" s="103">
        <f t="shared" si="833"/>
        <v>6.6043986661956891E-2</v>
      </c>
      <c r="Y854" s="122">
        <f t="shared" si="834"/>
        <v>0.42514083832175759</v>
      </c>
      <c r="Z854" s="123">
        <f t="shared" si="835"/>
        <v>0.1341238357326853</v>
      </c>
      <c r="AA854" s="123">
        <f t="shared" si="836"/>
        <v>5.702151996232354E-2</v>
      </c>
      <c r="AB854" s="124">
        <f t="shared" si="837"/>
        <v>5.5865200126443464E-2</v>
      </c>
    </row>
    <row r="855" spans="2:28" ht="15" thickBot="1" x14ac:dyDescent="0.35"/>
    <row r="856" spans="2:28" ht="58.2" thickBot="1" x14ac:dyDescent="0.35">
      <c r="B856" s="96">
        <v>38869</v>
      </c>
      <c r="C856" s="18" t="s">
        <v>8</v>
      </c>
      <c r="D856" s="19" t="s">
        <v>17</v>
      </c>
      <c r="E856" s="19" t="s">
        <v>15</v>
      </c>
      <c r="F856" s="19" t="s">
        <v>16</v>
      </c>
      <c r="G856" s="19" t="s">
        <v>14</v>
      </c>
      <c r="H856" s="20" t="s">
        <v>38</v>
      </c>
      <c r="I856" s="116"/>
      <c r="J856" s="116"/>
      <c r="K856" s="19" t="s">
        <v>21</v>
      </c>
      <c r="L856" s="19" t="s">
        <v>20</v>
      </c>
      <c r="M856" s="19" t="s">
        <v>40</v>
      </c>
      <c r="N856" s="19" t="s">
        <v>32</v>
      </c>
      <c r="O856" s="19" t="s">
        <v>22</v>
      </c>
      <c r="P856" s="51" t="s">
        <v>34</v>
      </c>
      <c r="Q856" s="20" t="s">
        <v>35</v>
      </c>
      <c r="R856" s="63" t="s">
        <v>39</v>
      </c>
      <c r="S856" s="91" t="s">
        <v>43</v>
      </c>
      <c r="T856" s="91" t="s">
        <v>44</v>
      </c>
      <c r="V856" s="104" t="s">
        <v>48</v>
      </c>
      <c r="W856" s="105" t="s">
        <v>49</v>
      </c>
      <c r="X856" s="106" t="s">
        <v>50</v>
      </c>
      <c r="Y856" s="61" t="s">
        <v>52</v>
      </c>
      <c r="Z856" s="61" t="s">
        <v>55</v>
      </c>
      <c r="AA856" s="61" t="s">
        <v>56</v>
      </c>
      <c r="AB856" s="61" t="s">
        <v>54</v>
      </c>
    </row>
    <row r="857" spans="2:28" x14ac:dyDescent="0.3">
      <c r="B857" s="3" t="s">
        <v>0</v>
      </c>
      <c r="C857" s="1">
        <v>30202</v>
      </c>
      <c r="D857" s="14">
        <v>14.45</v>
      </c>
      <c r="E857" s="1">
        <v>23947</v>
      </c>
      <c r="F857" s="1">
        <v>2407</v>
      </c>
      <c r="G857" s="1">
        <v>832158</v>
      </c>
      <c r="H857" s="118">
        <f>C857-E857-F857</f>
        <v>3848</v>
      </c>
      <c r="I857" s="117"/>
      <c r="J857" s="117"/>
      <c r="K857" s="114">
        <f t="shared" ref="K857:K868" si="838">G857/D857</f>
        <v>57588.788927335641</v>
      </c>
      <c r="L857" s="21">
        <f t="shared" ref="L857:L868" si="839">C857/D857</f>
        <v>2090.1038062283737</v>
      </c>
      <c r="M857" s="31">
        <f>(H857-H843)/H843</f>
        <v>1.4767932489451477E-2</v>
      </c>
      <c r="N857" s="31">
        <f>F857/(E857+F857)</f>
        <v>9.1333383926538669E-2</v>
      </c>
      <c r="O857" s="43">
        <f>F857/D857</f>
        <v>166.57439446366783</v>
      </c>
      <c r="P857" s="49">
        <f>F857/C857</f>
        <v>7.9696708827229984E-2</v>
      </c>
      <c r="Q857" s="47">
        <f>(C857-E857-F857)/D857</f>
        <v>266.29757785467132</v>
      </c>
      <c r="R857" s="66">
        <f>G857/H857</f>
        <v>216.25727650727652</v>
      </c>
      <c r="S857" s="92">
        <f>(C857-C843)/D857</f>
        <v>31.487889273356402</v>
      </c>
      <c r="T857" s="93">
        <f>(F857-F843)/D857</f>
        <v>2.4221453287197234</v>
      </c>
      <c r="V857" s="101" t="str">
        <f>B857</f>
        <v>ON</v>
      </c>
      <c r="W857" s="102">
        <f>L857/180+IFERROR((D857*C857*13)/(F857*F857),500)</f>
        <v>12.590940387052569</v>
      </c>
      <c r="X857" s="103">
        <f>L857/75000*K$867/K857</f>
        <v>2.520352910510942E-2</v>
      </c>
      <c r="Y857" s="122">
        <f>(E857+F857)/C857</f>
        <v>0.87259121912456128</v>
      </c>
      <c r="Z857" s="123">
        <f>N857</f>
        <v>9.1333383926538669E-2</v>
      </c>
      <c r="AA857" s="123">
        <f>P857</f>
        <v>7.9696708827229984E-2</v>
      </c>
      <c r="AB857" s="124">
        <f>X493</f>
        <v>1.8153949883887303E-2</v>
      </c>
    </row>
    <row r="858" spans="2:28" x14ac:dyDescent="0.3">
      <c r="B858" s="5" t="s">
        <v>1</v>
      </c>
      <c r="C858" s="1">
        <v>52624</v>
      </c>
      <c r="D858" s="14">
        <v>8.43</v>
      </c>
      <c r="E858" s="1">
        <v>18412</v>
      </c>
      <c r="F858" s="1">
        <v>4970</v>
      </c>
      <c r="G858" s="1">
        <v>494702</v>
      </c>
      <c r="H858" s="118">
        <f t="shared" ref="H858:H868" si="840">C858-E858-F858</f>
        <v>29242</v>
      </c>
      <c r="I858" s="117"/>
      <c r="J858" s="117"/>
      <c r="K858" s="114">
        <f t="shared" si="838"/>
        <v>58683.511269276394</v>
      </c>
      <c r="L858" s="21">
        <f t="shared" si="839"/>
        <v>6242.4673784104389</v>
      </c>
      <c r="M858" s="31">
        <f t="shared" ref="M858:M864" si="841">(H858-H844)/H844</f>
        <v>-1.5387723492373481E-2</v>
      </c>
      <c r="N858" s="31">
        <f t="shared" ref="N858:N868" si="842">F858/(E858+F858)</f>
        <v>0.21255666752202548</v>
      </c>
      <c r="O858" s="43">
        <f t="shared" ref="O858:O866" si="843">F858/D858</f>
        <v>589.56109134045084</v>
      </c>
      <c r="P858" s="49">
        <f t="shared" ref="P858:P868" si="844">F858/C858</f>
        <v>9.4443599878382481E-2</v>
      </c>
      <c r="Q858" s="47">
        <f t="shared" ref="Q858:Q868" si="845">(C858-E858-F858)/D858</f>
        <v>3468.8018979833928</v>
      </c>
      <c r="R858" s="66">
        <f t="shared" ref="R858:R863" si="846">G858/H858</f>
        <v>16.917515901785105</v>
      </c>
      <c r="S858" s="92">
        <f t="shared" ref="S858:S868" si="847">(C858-C844)/D858</f>
        <v>26.809015421115067</v>
      </c>
      <c r="T858" s="93">
        <f t="shared" ref="T858:T868" si="848">(F858-F844)/D858</f>
        <v>4.1518386714116255</v>
      </c>
      <c r="V858" s="98" t="str">
        <f t="shared" ref="V858:V868" si="849">B858</f>
        <v>QC</v>
      </c>
      <c r="W858" s="102">
        <f t="shared" ref="W858:W868" si="850">L858/180+IFERROR((D858*C858*13)/(F858*F858),500)</f>
        <v>34.913850196231806</v>
      </c>
      <c r="X858" s="103">
        <f t="shared" ref="X858:X868" si="851">L858/75000*K$867/K858</f>
        <v>7.3870601649690046E-2</v>
      </c>
      <c r="Y858" s="122">
        <f t="shared" ref="Y858:Y868" si="852">(E858+F858)/C858</f>
        <v>0.44432198236546061</v>
      </c>
      <c r="Z858" s="123">
        <f t="shared" ref="Z858:Z868" si="853">N858</f>
        <v>0.21255666752202548</v>
      </c>
      <c r="AA858" s="123">
        <f t="shared" ref="AA858:AA868" si="854">P858</f>
        <v>9.4443599878382481E-2</v>
      </c>
      <c r="AB858" s="124">
        <f t="shared" ref="AB858:AB868" si="855">X494</f>
        <v>5.4075626911870019E-2</v>
      </c>
    </row>
    <row r="859" spans="2:28" x14ac:dyDescent="0.3">
      <c r="B859" s="5" t="s">
        <v>2</v>
      </c>
      <c r="C859" s="1">
        <v>2632</v>
      </c>
      <c r="D859" s="14">
        <v>5.0199999999999996</v>
      </c>
      <c r="E859" s="1">
        <v>2272</v>
      </c>
      <c r="F859" s="1">
        <v>167</v>
      </c>
      <c r="G859" s="95">
        <v>153359</v>
      </c>
      <c r="H859" s="118">
        <f t="shared" si="840"/>
        <v>193</v>
      </c>
      <c r="I859" s="117"/>
      <c r="J859" s="117"/>
      <c r="K859" s="114">
        <f t="shared" si="838"/>
        <v>30549.601593625499</v>
      </c>
      <c r="L859" s="21">
        <f t="shared" si="839"/>
        <v>524.30278884462155</v>
      </c>
      <c r="M859" s="31">
        <f t="shared" si="841"/>
        <v>0</v>
      </c>
      <c r="N859" s="31">
        <f t="shared" si="842"/>
        <v>6.8470684706847071E-2</v>
      </c>
      <c r="O859" s="43">
        <f t="shared" si="843"/>
        <v>33.266932270916335</v>
      </c>
      <c r="P859" s="49">
        <f t="shared" si="844"/>
        <v>6.3449848024316108E-2</v>
      </c>
      <c r="Q859" s="47">
        <f t="shared" si="845"/>
        <v>38.446215139442238</v>
      </c>
      <c r="R859" s="66">
        <f t="shared" si="846"/>
        <v>794.60621761658035</v>
      </c>
      <c r="S859" s="92">
        <f t="shared" si="847"/>
        <v>0</v>
      </c>
      <c r="T859" s="93">
        <f t="shared" si="848"/>
        <v>0</v>
      </c>
      <c r="V859" s="98" t="str">
        <f t="shared" si="849"/>
        <v>BC</v>
      </c>
      <c r="W859" s="102">
        <f t="shared" si="850"/>
        <v>9.0716487340862493</v>
      </c>
      <c r="X859" s="103">
        <f t="shared" si="851"/>
        <v>1.1918128487188014E-2</v>
      </c>
      <c r="Y859" s="122">
        <f t="shared" si="852"/>
        <v>0.92667173252279633</v>
      </c>
      <c r="Z859" s="123">
        <f t="shared" si="853"/>
        <v>6.8470684706847071E-2</v>
      </c>
      <c r="AA859" s="123">
        <f t="shared" si="854"/>
        <v>6.3449848024316108E-2</v>
      </c>
      <c r="AB859" s="124">
        <f t="shared" si="855"/>
        <v>8.0549406129355444E-3</v>
      </c>
    </row>
    <row r="860" spans="2:28" x14ac:dyDescent="0.3">
      <c r="B860" s="5" t="s">
        <v>3</v>
      </c>
      <c r="C860" s="1">
        <v>7138</v>
      </c>
      <c r="D860" s="14">
        <v>4.34</v>
      </c>
      <c r="E860" s="1">
        <v>6656</v>
      </c>
      <c r="F860" s="1">
        <v>146</v>
      </c>
      <c r="G860" s="1">
        <v>281979</v>
      </c>
      <c r="H860" s="118">
        <f t="shared" si="840"/>
        <v>336</v>
      </c>
      <c r="I860" s="117"/>
      <c r="J860" s="117"/>
      <c r="K860" s="114">
        <f t="shared" si="838"/>
        <v>64972.119815668208</v>
      </c>
      <c r="L860" s="21">
        <f t="shared" si="839"/>
        <v>1644.7004608294931</v>
      </c>
      <c r="M860" s="31">
        <f t="shared" si="841"/>
        <v>2.4390243902439025E-2</v>
      </c>
      <c r="N860" s="31">
        <f t="shared" si="842"/>
        <v>2.1464275213172596E-2</v>
      </c>
      <c r="O860" s="43">
        <f t="shared" si="843"/>
        <v>33.640552995391708</v>
      </c>
      <c r="P860" s="49">
        <f t="shared" si="844"/>
        <v>2.0453908657887362E-2</v>
      </c>
      <c r="Q860" s="47">
        <f t="shared" si="845"/>
        <v>77.41935483870968</v>
      </c>
      <c r="R860" s="66">
        <f t="shared" si="846"/>
        <v>839.22321428571433</v>
      </c>
      <c r="S860" s="92">
        <f t="shared" si="847"/>
        <v>9.216589861751153</v>
      </c>
      <c r="T860" s="93">
        <f t="shared" si="848"/>
        <v>0</v>
      </c>
      <c r="V860" s="98" t="str">
        <f t="shared" si="849"/>
        <v>AL</v>
      </c>
      <c r="W860" s="102">
        <f t="shared" si="850"/>
        <v>28.030354825546141</v>
      </c>
      <c r="X860" s="103">
        <f t="shared" si="851"/>
        <v>1.7578880903031887E-2</v>
      </c>
      <c r="Y860" s="122">
        <f t="shared" si="852"/>
        <v>0.95292799103390302</v>
      </c>
      <c r="Z860" s="123">
        <f t="shared" si="853"/>
        <v>2.1464275213172596E-2</v>
      </c>
      <c r="AA860" s="123">
        <f t="shared" si="854"/>
        <v>2.0453908657887362E-2</v>
      </c>
      <c r="AB860" s="124">
        <f t="shared" si="855"/>
        <v>1.2480569612654655E-2</v>
      </c>
    </row>
    <row r="861" spans="2:28" x14ac:dyDescent="0.3">
      <c r="B861" s="5" t="s">
        <v>4</v>
      </c>
      <c r="C861" s="1">
        <v>300</v>
      </c>
      <c r="D861" s="14">
        <v>1.36</v>
      </c>
      <c r="E861" s="1">
        <v>284</v>
      </c>
      <c r="F861" s="1">
        <v>7</v>
      </c>
      <c r="G861" s="1">
        <v>47372</v>
      </c>
      <c r="H861" s="118">
        <f t="shared" si="840"/>
        <v>9</v>
      </c>
      <c r="I861" s="117"/>
      <c r="J861" s="117"/>
      <c r="K861" s="114">
        <f t="shared" si="838"/>
        <v>34832.352941176468</v>
      </c>
      <c r="L861" s="21">
        <f t="shared" si="839"/>
        <v>220.58823529411762</v>
      </c>
      <c r="M861" s="31">
        <f t="shared" si="841"/>
        <v>0</v>
      </c>
      <c r="N861" s="31">
        <f t="shared" si="842"/>
        <v>2.4054982817869417E-2</v>
      </c>
      <c r="O861" s="43">
        <f t="shared" si="843"/>
        <v>5.1470588235294112</v>
      </c>
      <c r="P861" s="49">
        <f t="shared" si="844"/>
        <v>2.3333333333333334E-2</v>
      </c>
      <c r="Q861" s="47">
        <f t="shared" si="845"/>
        <v>6.617647058823529</v>
      </c>
      <c r="R861" s="66">
        <f t="shared" si="846"/>
        <v>5263.5555555555557</v>
      </c>
      <c r="S861" s="92">
        <f t="shared" si="847"/>
        <v>0</v>
      </c>
      <c r="T861" s="93">
        <f t="shared" si="848"/>
        <v>0</v>
      </c>
      <c r="V861" s="98" t="str">
        <f t="shared" si="849"/>
        <v>MA</v>
      </c>
      <c r="W861" s="102">
        <f t="shared" si="850"/>
        <v>109.47038815526211</v>
      </c>
      <c r="X861" s="103">
        <f t="shared" si="851"/>
        <v>4.3977544864458942E-3</v>
      </c>
      <c r="Y861" s="122">
        <f t="shared" si="852"/>
        <v>0.97</v>
      </c>
      <c r="Z861" s="123">
        <f t="shared" si="853"/>
        <v>2.4054982817869417E-2</v>
      </c>
      <c r="AA861" s="123">
        <f t="shared" si="854"/>
        <v>2.3333333333333334E-2</v>
      </c>
      <c r="AB861" s="124">
        <f t="shared" si="855"/>
        <v>3.5644631862951442E-3</v>
      </c>
    </row>
    <row r="862" spans="2:28" x14ac:dyDescent="0.3">
      <c r="B862" s="5" t="s">
        <v>5</v>
      </c>
      <c r="C862" s="1">
        <v>650</v>
      </c>
      <c r="D862" s="14">
        <v>1.17</v>
      </c>
      <c r="E862" s="1">
        <v>611</v>
      </c>
      <c r="F862" s="1">
        <v>11</v>
      </c>
      <c r="G862" s="1">
        <v>49132</v>
      </c>
      <c r="H862" s="118">
        <f t="shared" si="840"/>
        <v>28</v>
      </c>
      <c r="I862" s="117"/>
      <c r="J862" s="117"/>
      <c r="K862" s="114">
        <f t="shared" si="838"/>
        <v>41993.162393162398</v>
      </c>
      <c r="L862" s="21">
        <f t="shared" si="839"/>
        <v>555.55555555555554</v>
      </c>
      <c r="M862" s="31">
        <f t="shared" si="841"/>
        <v>3.7037037037037035E-2</v>
      </c>
      <c r="N862" s="31">
        <f t="shared" si="842"/>
        <v>1.7684887459807074E-2</v>
      </c>
      <c r="O862" s="43">
        <f t="shared" si="843"/>
        <v>9.4017094017094021</v>
      </c>
      <c r="P862" s="49">
        <f t="shared" si="844"/>
        <v>1.6923076923076923E-2</v>
      </c>
      <c r="Q862" s="47">
        <f t="shared" si="845"/>
        <v>23.931623931623932</v>
      </c>
      <c r="R862" s="66">
        <f t="shared" si="846"/>
        <v>1754.7142857142858</v>
      </c>
      <c r="S862" s="92">
        <f t="shared" si="847"/>
        <v>0.85470085470085477</v>
      </c>
      <c r="T862" s="93">
        <f t="shared" si="848"/>
        <v>0</v>
      </c>
      <c r="V862" s="98" t="str">
        <f t="shared" si="849"/>
        <v>SA</v>
      </c>
      <c r="W862" s="102">
        <f t="shared" si="850"/>
        <v>84.793031323334347</v>
      </c>
      <c r="X862" s="103">
        <f t="shared" si="851"/>
        <v>9.1871405326972681E-3</v>
      </c>
      <c r="Y862" s="122">
        <f t="shared" si="852"/>
        <v>0.95692307692307688</v>
      </c>
      <c r="Z862" s="123">
        <f t="shared" si="853"/>
        <v>1.7684887459807074E-2</v>
      </c>
      <c r="AA862" s="123">
        <f t="shared" si="854"/>
        <v>1.6923076923076923E-2</v>
      </c>
      <c r="AB862" s="124">
        <f t="shared" si="855"/>
        <v>5.5878891023779425E-3</v>
      </c>
    </row>
    <row r="863" spans="2:28" x14ac:dyDescent="0.3">
      <c r="B863" s="5" t="s">
        <v>6</v>
      </c>
      <c r="C863" s="1">
        <v>1060</v>
      </c>
      <c r="D863" s="14">
        <v>0.96499999999999997</v>
      </c>
      <c r="E863" s="1">
        <v>996</v>
      </c>
      <c r="F863" s="1">
        <v>61</v>
      </c>
      <c r="G863" s="1">
        <f>45094+C863</f>
        <v>46154</v>
      </c>
      <c r="H863" s="118">
        <f t="shared" si="840"/>
        <v>3</v>
      </c>
      <c r="I863" s="117"/>
      <c r="J863" s="117"/>
      <c r="K863" s="114">
        <f t="shared" si="838"/>
        <v>47827.979274611404</v>
      </c>
      <c r="L863" s="21">
        <f t="shared" si="839"/>
        <v>1098.4455958549222</v>
      </c>
      <c r="M863" s="31">
        <f t="shared" si="841"/>
        <v>2</v>
      </c>
      <c r="N863" s="31">
        <f t="shared" si="842"/>
        <v>5.7710501419110688E-2</v>
      </c>
      <c r="O863" s="43">
        <f t="shared" si="843"/>
        <v>63.212435233160626</v>
      </c>
      <c r="P863" s="49">
        <f t="shared" si="844"/>
        <v>5.7547169811320756E-2</v>
      </c>
      <c r="Q863" s="47">
        <f t="shared" si="845"/>
        <v>3.1088082901554404</v>
      </c>
      <c r="R863" s="66">
        <f t="shared" si="846"/>
        <v>15384.666666666666</v>
      </c>
      <c r="S863" s="92">
        <f t="shared" si="847"/>
        <v>2.0725388601036272</v>
      </c>
      <c r="T863" s="93">
        <f t="shared" si="848"/>
        <v>0</v>
      </c>
      <c r="V863" s="98" t="str">
        <f t="shared" si="849"/>
        <v>NS</v>
      </c>
      <c r="W863" s="102">
        <f t="shared" si="850"/>
        <v>9.676165400842315</v>
      </c>
      <c r="X863" s="103">
        <f t="shared" si="851"/>
        <v>1.5948798303060025E-2</v>
      </c>
      <c r="Y863" s="122">
        <f t="shared" si="852"/>
        <v>0.99716981132075466</v>
      </c>
      <c r="Z863" s="123">
        <f t="shared" si="853"/>
        <v>5.7710501419110688E-2</v>
      </c>
      <c r="AA863" s="123">
        <f t="shared" si="854"/>
        <v>5.7547169811320756E-2</v>
      </c>
      <c r="AB863" s="124">
        <f t="shared" si="855"/>
        <v>1.0932993363507918E-2</v>
      </c>
    </row>
    <row r="864" spans="2:28" x14ac:dyDescent="0.3">
      <c r="B864" s="5" t="s">
        <v>7</v>
      </c>
      <c r="C864" s="1">
        <v>136</v>
      </c>
      <c r="D864" s="14">
        <v>0.77200000000000002</v>
      </c>
      <c r="E864" s="1">
        <v>123</v>
      </c>
      <c r="F864" s="1">
        <v>1</v>
      </c>
      <c r="G864" s="1">
        <v>32954</v>
      </c>
      <c r="H864" s="118">
        <f t="shared" si="840"/>
        <v>12</v>
      </c>
      <c r="I864" s="117"/>
      <c r="J864" s="117"/>
      <c r="K864" s="114">
        <f t="shared" si="838"/>
        <v>42686.528497409323</v>
      </c>
      <c r="L864" s="21">
        <f t="shared" si="839"/>
        <v>176.16580310880829</v>
      </c>
      <c r="M864" s="31">
        <f t="shared" si="841"/>
        <v>-0.14285714285714285</v>
      </c>
      <c r="N864" s="31">
        <f t="shared" si="842"/>
        <v>8.0645161290322578E-3</v>
      </c>
      <c r="O864" s="43">
        <f t="shared" si="843"/>
        <v>1.2953367875647668</v>
      </c>
      <c r="P864" s="49">
        <f t="shared" si="844"/>
        <v>7.3529411764705881E-3</v>
      </c>
      <c r="Q864" s="47">
        <f t="shared" si="845"/>
        <v>15.544041450777202</v>
      </c>
      <c r="R864" s="66">
        <f>IFERROR(G864/H864,20000)</f>
        <v>2746.1666666666665</v>
      </c>
      <c r="S864" s="92">
        <f t="shared" si="847"/>
        <v>0</v>
      </c>
      <c r="T864" s="93">
        <f t="shared" si="848"/>
        <v>0</v>
      </c>
      <c r="V864" s="98" t="str">
        <f t="shared" si="849"/>
        <v>NB</v>
      </c>
      <c r="W864" s="102">
        <f t="shared" si="850"/>
        <v>1365.8746989061599</v>
      </c>
      <c r="X864" s="103">
        <f t="shared" si="851"/>
        <v>2.865907818205218E-3</v>
      </c>
      <c r="Y864" s="122">
        <f t="shared" si="852"/>
        <v>0.91176470588235292</v>
      </c>
      <c r="Z864" s="123">
        <f t="shared" si="853"/>
        <v>8.0645161290322578E-3</v>
      </c>
      <c r="AA864" s="123">
        <f t="shared" si="854"/>
        <v>7.3529411764705881E-3</v>
      </c>
      <c r="AB864" s="124">
        <f t="shared" si="855"/>
        <v>2.609988801791713E-3</v>
      </c>
    </row>
    <row r="865" spans="2:28" x14ac:dyDescent="0.3">
      <c r="B865" s="5" t="s">
        <v>18</v>
      </c>
      <c r="C865" s="9">
        <v>27</v>
      </c>
      <c r="D865" s="15">
        <v>0.154</v>
      </c>
      <c r="E865" s="9">
        <v>27</v>
      </c>
      <c r="F865" s="9">
        <v>0</v>
      </c>
      <c r="G865" s="9">
        <v>7274</v>
      </c>
      <c r="H865" s="118">
        <f t="shared" si="840"/>
        <v>0</v>
      </c>
      <c r="I865" s="117"/>
      <c r="J865" s="117"/>
      <c r="K865" s="115">
        <f t="shared" si="838"/>
        <v>47233.766233766233</v>
      </c>
      <c r="L865" s="22">
        <f t="shared" si="839"/>
        <v>175.32467532467533</v>
      </c>
      <c r="M865" s="31">
        <v>0</v>
      </c>
      <c r="N865" s="31">
        <f t="shared" si="842"/>
        <v>0</v>
      </c>
      <c r="O865" s="44">
        <f t="shared" si="843"/>
        <v>0</v>
      </c>
      <c r="P865" s="49">
        <f t="shared" si="844"/>
        <v>0</v>
      </c>
      <c r="Q865" s="47">
        <f t="shared" si="845"/>
        <v>0</v>
      </c>
      <c r="R865" s="66">
        <f>IFERROR(G865/H865,20000)</f>
        <v>20000</v>
      </c>
      <c r="S865" s="92">
        <f t="shared" si="847"/>
        <v>0</v>
      </c>
      <c r="T865" s="93">
        <f t="shared" si="848"/>
        <v>0</v>
      </c>
      <c r="V865" s="98" t="str">
        <f t="shared" si="849"/>
        <v>PEI</v>
      </c>
      <c r="W865" s="102">
        <f t="shared" si="850"/>
        <v>500.97402597402595</v>
      </c>
      <c r="X865" s="103">
        <f t="shared" si="851"/>
        <v>2.5776379293198158E-3</v>
      </c>
      <c r="Y865" s="122">
        <f t="shared" si="852"/>
        <v>1</v>
      </c>
      <c r="Z865" s="123">
        <f t="shared" si="853"/>
        <v>0</v>
      </c>
      <c r="AA865" s="123">
        <f t="shared" si="854"/>
        <v>0</v>
      </c>
      <c r="AB865" s="124">
        <f t="shared" si="855"/>
        <v>2.7036802441711793E-3</v>
      </c>
    </row>
    <row r="866" spans="2:28" ht="15" thickBot="1" x14ac:dyDescent="0.35">
      <c r="B866" s="5" t="s">
        <v>11</v>
      </c>
      <c r="C866" s="9">
        <v>261</v>
      </c>
      <c r="D866" s="15">
        <v>0.52400000000000002</v>
      </c>
      <c r="E866" s="9">
        <v>256</v>
      </c>
      <c r="F866" s="9">
        <v>3</v>
      </c>
      <c r="G866" s="9">
        <v>13222</v>
      </c>
      <c r="H866" s="119">
        <f t="shared" si="840"/>
        <v>2</v>
      </c>
      <c r="I866" s="117"/>
      <c r="J866" s="117"/>
      <c r="K866" s="115">
        <f t="shared" si="838"/>
        <v>25232.824427480915</v>
      </c>
      <c r="L866" s="22">
        <f t="shared" si="839"/>
        <v>498.09160305343511</v>
      </c>
      <c r="M866" s="31">
        <f>(H866-H852)/H852</f>
        <v>0</v>
      </c>
      <c r="N866" s="32">
        <f t="shared" si="842"/>
        <v>1.1583011583011582E-2</v>
      </c>
      <c r="O866" s="44">
        <f t="shared" si="843"/>
        <v>5.7251908396946565</v>
      </c>
      <c r="P866" s="50">
        <f t="shared" si="844"/>
        <v>1.1494252873563218E-2</v>
      </c>
      <c r="Q866" s="48">
        <f t="shared" si="845"/>
        <v>3.8167938931297707</v>
      </c>
      <c r="R866" s="67">
        <f>G866/H866</f>
        <v>6611</v>
      </c>
      <c r="S866" s="92">
        <f t="shared" si="847"/>
        <v>0</v>
      </c>
      <c r="T866" s="93">
        <f t="shared" si="848"/>
        <v>0</v>
      </c>
      <c r="V866" s="99" t="str">
        <f t="shared" si="849"/>
        <v>NFLD</v>
      </c>
      <c r="W866" s="120">
        <f t="shared" si="850"/>
        <v>200.31517557251911</v>
      </c>
      <c r="X866" s="103">
        <f t="shared" si="851"/>
        <v>1.3708022251759641E-2</v>
      </c>
      <c r="Y866" s="122">
        <f t="shared" si="852"/>
        <v>0.9923371647509579</v>
      </c>
      <c r="Z866" s="123">
        <f t="shared" si="853"/>
        <v>1.1583011583011582E-2</v>
      </c>
      <c r="AA866" s="123">
        <f t="shared" si="854"/>
        <v>1.1494252873563218E-2</v>
      </c>
      <c r="AB866" s="124">
        <f t="shared" si="855"/>
        <v>9.9783848413816066E-3</v>
      </c>
    </row>
    <row r="867" spans="2:28" ht="15" thickBot="1" x14ac:dyDescent="0.35">
      <c r="B867" s="11" t="s">
        <v>10</v>
      </c>
      <c r="C867" s="12">
        <v>95057</v>
      </c>
      <c r="D867" s="16">
        <v>37.6</v>
      </c>
      <c r="E867" s="12">
        <v>53614</v>
      </c>
      <c r="F867" s="12">
        <v>7773</v>
      </c>
      <c r="G867" s="12">
        <f>SUM(G857:G866)</f>
        <v>1958306</v>
      </c>
      <c r="H867" s="81">
        <f t="shared" si="840"/>
        <v>33670</v>
      </c>
      <c r="I867" s="117"/>
      <c r="J867" s="117"/>
      <c r="K867" s="77">
        <f t="shared" si="838"/>
        <v>52082.606382978724</v>
      </c>
      <c r="L867" s="23">
        <f t="shared" si="839"/>
        <v>2528.1117021276596</v>
      </c>
      <c r="M867" s="31">
        <f>(H867-H853)/H853</f>
        <v>-1.1566463128229216E-2</v>
      </c>
      <c r="N867" s="33">
        <f t="shared" si="842"/>
        <v>0.12662290061413653</v>
      </c>
      <c r="O867" s="45">
        <f>F867/D867</f>
        <v>206.72872340425531</v>
      </c>
      <c r="P867" s="53">
        <f t="shared" si="844"/>
        <v>8.1771989437916193E-2</v>
      </c>
      <c r="Q867" s="55">
        <f t="shared" si="845"/>
        <v>895.47872340425533</v>
      </c>
      <c r="R867" s="74">
        <f>G867/H867</f>
        <v>58.16174636174636</v>
      </c>
      <c r="S867" s="92">
        <f t="shared" si="847"/>
        <v>19.202127659574469</v>
      </c>
      <c r="T867" s="93">
        <f t="shared" si="848"/>
        <v>1.8617021276595744</v>
      </c>
      <c r="V867" s="108" t="str">
        <f t="shared" si="849"/>
        <v>Canada</v>
      </c>
      <c r="W867" s="109">
        <f t="shared" si="850"/>
        <v>14.814085597862967</v>
      </c>
      <c r="X867" s="103">
        <f t="shared" si="851"/>
        <v>3.3708156028368796E-2</v>
      </c>
      <c r="Y867" s="122">
        <f t="shared" si="852"/>
        <v>0.64579147248493007</v>
      </c>
      <c r="Z867" s="123">
        <f t="shared" si="853"/>
        <v>0.12662290061413653</v>
      </c>
      <c r="AA867" s="123">
        <f t="shared" si="854"/>
        <v>8.1771989437916193E-2</v>
      </c>
      <c r="AB867" s="124">
        <f t="shared" si="855"/>
        <v>2.299113475177305E-2</v>
      </c>
    </row>
    <row r="868" spans="2:28" ht="15" thickBot="1" x14ac:dyDescent="0.35">
      <c r="B868" s="6" t="s">
        <v>9</v>
      </c>
      <c r="C868" s="7">
        <v>1981783</v>
      </c>
      <c r="D868" s="7">
        <v>327</v>
      </c>
      <c r="E868" s="7">
        <v>746512</v>
      </c>
      <c r="F868" s="7">
        <v>111942</v>
      </c>
      <c r="G868" s="7">
        <v>20600808</v>
      </c>
      <c r="H868" s="82">
        <f t="shared" si="840"/>
        <v>1123329</v>
      </c>
      <c r="I868" s="117"/>
      <c r="J868" s="117"/>
      <c r="K868" s="78">
        <f t="shared" si="838"/>
        <v>62999.412844036699</v>
      </c>
      <c r="L868" s="24">
        <f t="shared" si="839"/>
        <v>6060.4984709480123</v>
      </c>
      <c r="M868" s="31">
        <f>(H868-H854)/H854</f>
        <v>1.4058365842004293E-3</v>
      </c>
      <c r="N868" s="33">
        <f t="shared" si="842"/>
        <v>0.13039953218227185</v>
      </c>
      <c r="O868" s="46">
        <f>F868/D868</f>
        <v>342.33027522935782</v>
      </c>
      <c r="P868" s="52">
        <f t="shared" si="844"/>
        <v>5.6485498159990273E-2</v>
      </c>
      <c r="Q868" s="54">
        <f t="shared" si="845"/>
        <v>3435.2568807339449</v>
      </c>
      <c r="R868" s="72">
        <f>G868/H868</f>
        <v>18.339068963767517</v>
      </c>
      <c r="S868" s="92">
        <f t="shared" si="847"/>
        <v>93.064220183486242</v>
      </c>
      <c r="T868" s="93">
        <f t="shared" si="848"/>
        <v>2.0581039755351682</v>
      </c>
      <c r="V868" s="108" t="str">
        <f t="shared" si="849"/>
        <v>USA</v>
      </c>
      <c r="W868" s="109">
        <f t="shared" si="850"/>
        <v>34.341732804951668</v>
      </c>
      <c r="X868" s="103">
        <f t="shared" si="851"/>
        <v>6.6804126598968824E-2</v>
      </c>
      <c r="Y868" s="122">
        <f t="shared" si="852"/>
        <v>0.43317255219163753</v>
      </c>
      <c r="Z868" s="123">
        <f t="shared" si="853"/>
        <v>0.13039953218227185</v>
      </c>
      <c r="AA868" s="123">
        <f t="shared" si="854"/>
        <v>5.6485498159990273E-2</v>
      </c>
      <c r="AB868" s="124">
        <f t="shared" si="855"/>
        <v>5.9604383020917244E-2</v>
      </c>
    </row>
    <row r="869" spans="2:28" ht="15" thickBot="1" x14ac:dyDescent="0.35"/>
    <row r="870" spans="2:28" ht="58.2" thickBot="1" x14ac:dyDescent="0.35">
      <c r="B870" s="96">
        <v>41426</v>
      </c>
      <c r="C870" s="18" t="s">
        <v>8</v>
      </c>
      <c r="D870" s="19" t="s">
        <v>17</v>
      </c>
      <c r="E870" s="19" t="s">
        <v>15</v>
      </c>
      <c r="F870" s="19" t="s">
        <v>16</v>
      </c>
      <c r="G870" s="19" t="s">
        <v>14</v>
      </c>
      <c r="H870" s="20" t="s">
        <v>38</v>
      </c>
      <c r="I870" s="116"/>
      <c r="J870" s="116"/>
      <c r="K870" s="19" t="s">
        <v>21</v>
      </c>
      <c r="L870" s="19" t="s">
        <v>20</v>
      </c>
      <c r="M870" s="19" t="s">
        <v>40</v>
      </c>
      <c r="N870" s="19" t="s">
        <v>32</v>
      </c>
      <c r="O870" s="19" t="s">
        <v>22</v>
      </c>
      <c r="P870" s="51" t="s">
        <v>34</v>
      </c>
      <c r="Q870" s="20" t="s">
        <v>35</v>
      </c>
      <c r="R870" s="63" t="s">
        <v>39</v>
      </c>
      <c r="S870" s="91" t="s">
        <v>43</v>
      </c>
      <c r="T870" s="91" t="s">
        <v>44</v>
      </c>
      <c r="V870" s="104" t="s">
        <v>48</v>
      </c>
      <c r="W870" s="105" t="s">
        <v>49</v>
      </c>
      <c r="X870" s="106" t="s">
        <v>50</v>
      </c>
      <c r="Y870" s="61" t="s">
        <v>52</v>
      </c>
      <c r="Z870" s="61" t="s">
        <v>55</v>
      </c>
      <c r="AA870" s="61" t="s">
        <v>56</v>
      </c>
      <c r="AB870" s="61" t="s">
        <v>54</v>
      </c>
    </row>
    <row r="871" spans="2:28" x14ac:dyDescent="0.3">
      <c r="B871" s="3" t="s">
        <v>0</v>
      </c>
      <c r="C871" s="1">
        <v>31992</v>
      </c>
      <c r="D871" s="14">
        <v>14.45</v>
      </c>
      <c r="E871" s="1">
        <v>26538</v>
      </c>
      <c r="F871" s="1">
        <v>2507</v>
      </c>
      <c r="G871" s="1">
        <v>980471</v>
      </c>
      <c r="H871" s="118">
        <f>C871-E871-F871</f>
        <v>2947</v>
      </c>
      <c r="I871" s="117"/>
      <c r="J871" s="117"/>
      <c r="K871" s="114">
        <f t="shared" ref="K871:K882" si="856">G871/D871</f>
        <v>67852.664359861592</v>
      </c>
      <c r="L871" s="21">
        <f t="shared" ref="L871:L882" si="857">C871/D871</f>
        <v>2213.9792387543253</v>
      </c>
      <c r="M871" s="31">
        <f>(H871-H857)/H857</f>
        <v>-0.23414760914760915</v>
      </c>
      <c r="N871" s="31">
        <f>F871/(E871+F871)</f>
        <v>8.6314339817524524E-2</v>
      </c>
      <c r="O871" s="43">
        <f>F871/D871</f>
        <v>173.49480968858131</v>
      </c>
      <c r="P871" s="49">
        <f>F871/C871</f>
        <v>7.8363340835208808E-2</v>
      </c>
      <c r="Q871" s="47">
        <f>(C871-E871-F871)/D871</f>
        <v>203.94463667820071</v>
      </c>
      <c r="R871" s="66">
        <f>G871/H871</f>
        <v>332.70139124533426</v>
      </c>
      <c r="S871" s="92">
        <f>(C871-C857)/D871/7</f>
        <v>17.696490360850223</v>
      </c>
      <c r="T871" s="93">
        <f>(F871-F857)/D871/7</f>
        <v>0.98863074641621362</v>
      </c>
      <c r="V871" s="101" t="str">
        <f>B871</f>
        <v>ON</v>
      </c>
      <c r="W871" s="102">
        <f>L871/180+IFERROR((D871*C871*13)/(F871*F871),500)</f>
        <v>13.256074054610158</v>
      </c>
      <c r="X871" s="103">
        <f>L871/75000*K$881/K871</f>
        <v>2.553126227631327E-2</v>
      </c>
      <c r="Y871" s="122">
        <f>(E871+F871)/C871</f>
        <v>0.90788322080520134</v>
      </c>
      <c r="Z871" s="123">
        <f>N871</f>
        <v>8.6314339817524524E-2</v>
      </c>
      <c r="AA871" s="123">
        <f>P871</f>
        <v>7.8363340835208808E-2</v>
      </c>
      <c r="AB871" s="124">
        <f>X563</f>
        <v>1.9459248714654896E-2</v>
      </c>
    </row>
    <row r="872" spans="2:28" x14ac:dyDescent="0.3">
      <c r="B872" s="5" t="s">
        <v>1</v>
      </c>
      <c r="C872" s="1">
        <v>53824</v>
      </c>
      <c r="D872" s="14">
        <v>8.43</v>
      </c>
      <c r="E872" s="1">
        <v>21281</v>
      </c>
      <c r="F872" s="1">
        <v>5195</v>
      </c>
      <c r="G872" s="1">
        <v>514866</v>
      </c>
      <c r="H872" s="118">
        <f t="shared" ref="H872:H882" si="858">C872-E872-F872</f>
        <v>27348</v>
      </c>
      <c r="I872" s="117"/>
      <c r="J872" s="117"/>
      <c r="K872" s="114">
        <f t="shared" si="856"/>
        <v>61075.444839857657</v>
      </c>
      <c r="L872" s="21">
        <f t="shared" si="857"/>
        <v>6384.8161328588376</v>
      </c>
      <c r="M872" s="31">
        <f t="shared" ref="M872:M878" si="859">(H872-H858)/H858</f>
        <v>-6.4769851583339033E-2</v>
      </c>
      <c r="N872" s="31">
        <f t="shared" ref="N872:N882" si="860">F872/(E872+F872)</f>
        <v>0.1962154403988518</v>
      </c>
      <c r="O872" s="43">
        <f t="shared" ref="O872:O880" si="861">F872/D872</f>
        <v>616.25148279952555</v>
      </c>
      <c r="P872" s="49">
        <f t="shared" ref="P872:P882" si="862">F872/C872</f>
        <v>9.651828180737218E-2</v>
      </c>
      <c r="Q872" s="47">
        <f t="shared" ref="Q872:Q882" si="863">(C872-E872-F872)/D872</f>
        <v>3244.1281138790036</v>
      </c>
      <c r="R872" s="66">
        <f t="shared" ref="R872:R877" si="864">G872/H872</f>
        <v>18.826458973233873</v>
      </c>
      <c r="S872" s="92">
        <f t="shared" ref="S872:S882" si="865">(C872-C858)/D872/7</f>
        <v>20.335536349771225</v>
      </c>
      <c r="T872" s="93">
        <f t="shared" ref="T872:T882" si="866">(F872-F858)/D872/7</f>
        <v>3.8129130655821051</v>
      </c>
      <c r="V872" s="98" t="str">
        <f t="shared" ref="V872:V882" si="867">B872</f>
        <v>QC</v>
      </c>
      <c r="W872" s="102">
        <f t="shared" ref="W872:W882" si="868">L872/180+IFERROR((D872*C872*13)/(F872*F872),500)</f>
        <v>35.689763310208392</v>
      </c>
      <c r="X872" s="103">
        <f t="shared" ref="X872:X882" si="869">L872/75000*K$881/K872</f>
        <v>8.1798888992751201E-2</v>
      </c>
      <c r="Y872" s="122">
        <f t="shared" ref="Y872:Y882" si="870">(E872+F872)/C872</f>
        <v>0.49189952437574314</v>
      </c>
      <c r="Z872" s="123">
        <f t="shared" ref="Z872:Z882" si="871">N872</f>
        <v>0.1962154403988518</v>
      </c>
      <c r="AA872" s="123">
        <f t="shared" ref="AA872:AA882" si="872">P872</f>
        <v>9.651828180737218E-2</v>
      </c>
      <c r="AB872" s="124">
        <f t="shared" ref="AB872:AB882" si="873">X564</f>
        <v>5.7314372160993714E-2</v>
      </c>
    </row>
    <row r="873" spans="2:28" x14ac:dyDescent="0.3">
      <c r="B873" s="5" t="s">
        <v>2</v>
      </c>
      <c r="C873" s="1">
        <v>2709</v>
      </c>
      <c r="D873" s="14">
        <v>5.0199999999999996</v>
      </c>
      <c r="E873" s="1">
        <v>2354</v>
      </c>
      <c r="F873" s="1">
        <v>168</v>
      </c>
      <c r="G873" s="95">
        <v>165256</v>
      </c>
      <c r="H873" s="118">
        <f t="shared" si="858"/>
        <v>187</v>
      </c>
      <c r="I873" s="117"/>
      <c r="J873" s="117"/>
      <c r="K873" s="114">
        <f t="shared" si="856"/>
        <v>32919.521912350603</v>
      </c>
      <c r="L873" s="21">
        <f t="shared" si="857"/>
        <v>539.64143426294822</v>
      </c>
      <c r="M873" s="31">
        <f t="shared" si="859"/>
        <v>-3.1088082901554404E-2</v>
      </c>
      <c r="N873" s="31">
        <f t="shared" si="860"/>
        <v>6.6613798572561458E-2</v>
      </c>
      <c r="O873" s="43">
        <f t="shared" si="861"/>
        <v>33.466135458167336</v>
      </c>
      <c r="P873" s="49">
        <f t="shared" si="862"/>
        <v>6.2015503875968991E-2</v>
      </c>
      <c r="Q873" s="47">
        <f t="shared" si="863"/>
        <v>37.250996015936259</v>
      </c>
      <c r="R873" s="66">
        <f t="shared" si="864"/>
        <v>883.72192513368987</v>
      </c>
      <c r="S873" s="92">
        <f t="shared" si="865"/>
        <v>2.1912350597609564</v>
      </c>
      <c r="T873" s="93">
        <f t="shared" si="866"/>
        <v>2.8457598178713718E-2</v>
      </c>
      <c r="V873" s="98" t="str">
        <f t="shared" si="867"/>
        <v>BC</v>
      </c>
      <c r="W873" s="102">
        <f t="shared" si="868"/>
        <v>9.2618026109846312</v>
      </c>
      <c r="X873" s="103">
        <f t="shared" si="869"/>
        <v>1.2826773244915171E-2</v>
      </c>
      <c r="Y873" s="122">
        <f t="shared" si="870"/>
        <v>0.93097083794758217</v>
      </c>
      <c r="Z873" s="123">
        <f t="shared" si="871"/>
        <v>6.6613798572561458E-2</v>
      </c>
      <c r="AA873" s="123">
        <f t="shared" si="872"/>
        <v>6.2015503875968991E-2</v>
      </c>
      <c r="AB873" s="124">
        <f t="shared" si="873"/>
        <v>9.0126415916742426E-3</v>
      </c>
    </row>
    <row r="874" spans="2:28" x14ac:dyDescent="0.3">
      <c r="B874" s="5" t="s">
        <v>3</v>
      </c>
      <c r="C874" s="1">
        <v>7383</v>
      </c>
      <c r="D874" s="14">
        <v>4.34</v>
      </c>
      <c r="E874" s="1">
        <v>6830</v>
      </c>
      <c r="F874" s="1">
        <v>150</v>
      </c>
      <c r="G874" s="1">
        <v>331938</v>
      </c>
      <c r="H874" s="118">
        <f t="shared" si="858"/>
        <v>403</v>
      </c>
      <c r="I874" s="117"/>
      <c r="J874" s="117"/>
      <c r="K874" s="114">
        <f t="shared" si="856"/>
        <v>76483.410138248844</v>
      </c>
      <c r="L874" s="21">
        <f t="shared" si="857"/>
        <v>1701.1520737327189</v>
      </c>
      <c r="M874" s="31">
        <f t="shared" si="859"/>
        <v>0.19940476190476192</v>
      </c>
      <c r="N874" s="31">
        <f t="shared" si="860"/>
        <v>2.148997134670487E-2</v>
      </c>
      <c r="O874" s="43">
        <f t="shared" si="861"/>
        <v>34.562211981566819</v>
      </c>
      <c r="P874" s="49">
        <f t="shared" si="862"/>
        <v>2.031694433157253E-2</v>
      </c>
      <c r="Q874" s="47">
        <f t="shared" si="863"/>
        <v>92.857142857142861</v>
      </c>
      <c r="R874" s="66">
        <f t="shared" si="864"/>
        <v>823.66749379652606</v>
      </c>
      <c r="S874" s="92">
        <f t="shared" si="865"/>
        <v>8.064516129032258</v>
      </c>
      <c r="T874" s="93">
        <f t="shared" si="866"/>
        <v>0.1316655694535879</v>
      </c>
      <c r="V874" s="98" t="str">
        <f t="shared" si="867"/>
        <v>AL</v>
      </c>
      <c r="W874" s="102">
        <f t="shared" si="868"/>
        <v>27.964127520737328</v>
      </c>
      <c r="X874" s="103">
        <f t="shared" si="869"/>
        <v>1.7403698226520898E-2</v>
      </c>
      <c r="Y874" s="122">
        <f t="shared" si="870"/>
        <v>0.94541514289584183</v>
      </c>
      <c r="Z874" s="123">
        <f t="shared" si="871"/>
        <v>2.148997134670487E-2</v>
      </c>
      <c r="AA874" s="123">
        <f t="shared" si="872"/>
        <v>2.031694433157253E-2</v>
      </c>
      <c r="AB874" s="124">
        <f t="shared" si="873"/>
        <v>1.4273343177378427E-2</v>
      </c>
    </row>
    <row r="875" spans="2:28" x14ac:dyDescent="0.3">
      <c r="B875" s="5" t="s">
        <v>4</v>
      </c>
      <c r="C875" s="1">
        <v>301</v>
      </c>
      <c r="D875" s="14">
        <v>1.36</v>
      </c>
      <c r="E875" s="1">
        <v>289</v>
      </c>
      <c r="F875" s="1">
        <v>7</v>
      </c>
      <c r="G875" s="1">
        <v>52255</v>
      </c>
      <c r="H875" s="118">
        <f t="shared" si="858"/>
        <v>5</v>
      </c>
      <c r="I875" s="117"/>
      <c r="J875" s="117"/>
      <c r="K875" s="114">
        <f t="shared" si="856"/>
        <v>38422.794117647056</v>
      </c>
      <c r="L875" s="21">
        <f t="shared" si="857"/>
        <v>221.3235294117647</v>
      </c>
      <c r="M875" s="31">
        <f t="shared" si="859"/>
        <v>-0.44444444444444442</v>
      </c>
      <c r="N875" s="31">
        <f t="shared" si="860"/>
        <v>2.364864864864865E-2</v>
      </c>
      <c r="O875" s="43">
        <f t="shared" si="861"/>
        <v>5.1470588235294112</v>
      </c>
      <c r="P875" s="49">
        <f t="shared" si="862"/>
        <v>2.3255813953488372E-2</v>
      </c>
      <c r="Q875" s="47">
        <f t="shared" si="863"/>
        <v>3.6764705882352939</v>
      </c>
      <c r="R875" s="66">
        <f t="shared" si="864"/>
        <v>10451</v>
      </c>
      <c r="S875" s="92">
        <f t="shared" si="865"/>
        <v>0.10504201680672268</v>
      </c>
      <c r="T875" s="93">
        <f t="shared" si="866"/>
        <v>0</v>
      </c>
      <c r="V875" s="98" t="str">
        <f t="shared" si="867"/>
        <v>MA</v>
      </c>
      <c r="W875" s="102">
        <f t="shared" si="868"/>
        <v>109.83528944911298</v>
      </c>
      <c r="X875" s="103">
        <f t="shared" si="869"/>
        <v>4.5071736662343894E-3</v>
      </c>
      <c r="Y875" s="122">
        <f t="shared" si="870"/>
        <v>0.98338870431893688</v>
      </c>
      <c r="Z875" s="123">
        <f t="shared" si="871"/>
        <v>2.364864864864865E-2</v>
      </c>
      <c r="AA875" s="123">
        <f t="shared" si="872"/>
        <v>2.3255813953488372E-2</v>
      </c>
      <c r="AB875" s="124">
        <f t="shared" si="873"/>
        <v>3.9516775427327943E-3</v>
      </c>
    </row>
    <row r="876" spans="2:28" x14ac:dyDescent="0.3">
      <c r="B876" s="5" t="s">
        <v>5</v>
      </c>
      <c r="C876" s="1">
        <v>664</v>
      </c>
      <c r="D876" s="14">
        <v>1.17</v>
      </c>
      <c r="E876" s="1">
        <v>627</v>
      </c>
      <c r="F876" s="1">
        <v>13</v>
      </c>
      <c r="G876" s="1">
        <v>55122</v>
      </c>
      <c r="H876" s="118">
        <f t="shared" si="858"/>
        <v>24</v>
      </c>
      <c r="I876" s="117"/>
      <c r="J876" s="117"/>
      <c r="K876" s="114">
        <f t="shared" si="856"/>
        <v>47112.820512820515</v>
      </c>
      <c r="L876" s="21">
        <f t="shared" si="857"/>
        <v>567.52136752136755</v>
      </c>
      <c r="M876" s="31">
        <f t="shared" si="859"/>
        <v>-0.14285714285714285</v>
      </c>
      <c r="N876" s="31">
        <f t="shared" si="860"/>
        <v>2.0312500000000001E-2</v>
      </c>
      <c r="O876" s="43">
        <f t="shared" si="861"/>
        <v>11.111111111111112</v>
      </c>
      <c r="P876" s="49">
        <f t="shared" si="862"/>
        <v>1.9578313253012049E-2</v>
      </c>
      <c r="Q876" s="47">
        <f t="shared" si="863"/>
        <v>20.512820512820515</v>
      </c>
      <c r="R876" s="66">
        <f t="shared" si="864"/>
        <v>2296.75</v>
      </c>
      <c r="S876" s="92">
        <f t="shared" si="865"/>
        <v>1.7094017094017093</v>
      </c>
      <c r="T876" s="93">
        <f t="shared" si="866"/>
        <v>0.24420024420024422</v>
      </c>
      <c r="V876" s="98" t="str">
        <f t="shared" si="867"/>
        <v>SA</v>
      </c>
      <c r="W876" s="102">
        <f t="shared" si="868"/>
        <v>62.912896486229826</v>
      </c>
      <c r="X876" s="103">
        <f t="shared" si="869"/>
        <v>9.425594702762486E-3</v>
      </c>
      <c r="Y876" s="122">
        <f t="shared" si="870"/>
        <v>0.96385542168674698</v>
      </c>
      <c r="Z876" s="123">
        <f t="shared" si="871"/>
        <v>2.0312500000000001E-2</v>
      </c>
      <c r="AA876" s="123">
        <f t="shared" si="872"/>
        <v>1.9578313253012049E-2</v>
      </c>
      <c r="AB876" s="124">
        <f t="shared" si="873"/>
        <v>6.5826623559957663E-3</v>
      </c>
    </row>
    <row r="877" spans="2:28" x14ac:dyDescent="0.3">
      <c r="B877" s="5" t="s">
        <v>6</v>
      </c>
      <c r="C877" s="1">
        <v>1061</v>
      </c>
      <c r="D877" s="14">
        <v>0.96499999999999997</v>
      </c>
      <c r="E877" s="1">
        <v>996</v>
      </c>
      <c r="F877" s="1">
        <v>62</v>
      </c>
      <c r="G877" s="1">
        <f>46156+C877</f>
        <v>47217</v>
      </c>
      <c r="H877" s="118">
        <f t="shared" si="858"/>
        <v>3</v>
      </c>
      <c r="I877" s="117"/>
      <c r="J877" s="117"/>
      <c r="K877" s="114">
        <f t="shared" si="856"/>
        <v>48929.533678756481</v>
      </c>
      <c r="L877" s="21">
        <f t="shared" si="857"/>
        <v>1099.4818652849742</v>
      </c>
      <c r="M877" s="31">
        <f t="shared" si="859"/>
        <v>0</v>
      </c>
      <c r="N877" s="31">
        <f t="shared" si="860"/>
        <v>5.8601134215500943E-2</v>
      </c>
      <c r="O877" s="43">
        <f t="shared" si="861"/>
        <v>64.248704663212436</v>
      </c>
      <c r="P877" s="49">
        <f t="shared" si="862"/>
        <v>5.8435438265786996E-2</v>
      </c>
      <c r="Q877" s="47">
        <f t="shared" si="863"/>
        <v>3.1088082901554404</v>
      </c>
      <c r="R877" s="66">
        <f t="shared" si="864"/>
        <v>15739</v>
      </c>
      <c r="S877" s="92">
        <f t="shared" si="865"/>
        <v>0.14803849000740193</v>
      </c>
      <c r="T877" s="93">
        <f t="shared" si="866"/>
        <v>0.14803849000740193</v>
      </c>
      <c r="V877" s="98" t="str">
        <f t="shared" si="867"/>
        <v>NS</v>
      </c>
      <c r="W877" s="102">
        <f t="shared" si="868"/>
        <v>9.5708353424607484</v>
      </c>
      <c r="X877" s="103">
        <f t="shared" si="869"/>
        <v>1.7582581635686271E-2</v>
      </c>
      <c r="Y877" s="122">
        <f t="shared" si="870"/>
        <v>0.99717247879359094</v>
      </c>
      <c r="Z877" s="123">
        <f t="shared" si="871"/>
        <v>5.8601134215500943E-2</v>
      </c>
      <c r="AA877" s="123">
        <f t="shared" si="872"/>
        <v>5.8435438265786996E-2</v>
      </c>
      <c r="AB877" s="124">
        <f t="shared" si="873"/>
        <v>1.2511474678852478E-2</v>
      </c>
    </row>
    <row r="878" spans="2:28" x14ac:dyDescent="0.3">
      <c r="B878" s="5" t="s">
        <v>7</v>
      </c>
      <c r="C878" s="1">
        <v>157</v>
      </c>
      <c r="D878" s="14">
        <v>0.77200000000000002</v>
      </c>
      <c r="E878" s="1">
        <v>126</v>
      </c>
      <c r="F878" s="1">
        <v>2</v>
      </c>
      <c r="G878" s="1">
        <v>36605</v>
      </c>
      <c r="H878" s="118">
        <f t="shared" si="858"/>
        <v>29</v>
      </c>
      <c r="I878" s="117"/>
      <c r="J878" s="117"/>
      <c r="K878" s="114">
        <f t="shared" si="856"/>
        <v>47415.803108808286</v>
      </c>
      <c r="L878" s="21">
        <f t="shared" si="857"/>
        <v>203.3678756476684</v>
      </c>
      <c r="M878" s="31">
        <f t="shared" si="859"/>
        <v>1.4166666666666667</v>
      </c>
      <c r="N878" s="31">
        <f t="shared" si="860"/>
        <v>1.5625E-2</v>
      </c>
      <c r="O878" s="43">
        <f t="shared" si="861"/>
        <v>2.5906735751295336</v>
      </c>
      <c r="P878" s="49">
        <f t="shared" si="862"/>
        <v>1.2738853503184714E-2</v>
      </c>
      <c r="Q878" s="47">
        <f t="shared" si="863"/>
        <v>37.564766839378237</v>
      </c>
      <c r="R878" s="66">
        <f>IFERROR(G878/H878,20000)</f>
        <v>1262.2413793103449</v>
      </c>
      <c r="S878" s="92">
        <f t="shared" si="865"/>
        <v>3.8860103626943006</v>
      </c>
      <c r="T878" s="93">
        <f t="shared" si="866"/>
        <v>0.1850481125092524</v>
      </c>
      <c r="V878" s="98" t="str">
        <f t="shared" si="867"/>
        <v>NB</v>
      </c>
      <c r="W878" s="102">
        <f t="shared" si="868"/>
        <v>395.04282153137592</v>
      </c>
      <c r="X878" s="103">
        <f t="shared" si="869"/>
        <v>3.3560227016229422E-3</v>
      </c>
      <c r="Y878" s="122">
        <f t="shared" si="870"/>
        <v>0.8152866242038217</v>
      </c>
      <c r="Z878" s="123">
        <f t="shared" si="871"/>
        <v>1.5625E-2</v>
      </c>
      <c r="AA878" s="123">
        <f t="shared" si="872"/>
        <v>1.2738853503184714E-2</v>
      </c>
      <c r="AB878" s="124">
        <f t="shared" si="873"/>
        <v>2.7700372097851128E-3</v>
      </c>
    </row>
    <row r="879" spans="2:28" x14ac:dyDescent="0.3">
      <c r="B879" s="5" t="s">
        <v>18</v>
      </c>
      <c r="C879" s="9">
        <v>27</v>
      </c>
      <c r="D879" s="15">
        <v>0.154</v>
      </c>
      <c r="E879" s="9">
        <v>27</v>
      </c>
      <c r="F879" s="9">
        <v>0</v>
      </c>
      <c r="G879" s="9">
        <v>8326</v>
      </c>
      <c r="H879" s="118">
        <f t="shared" si="858"/>
        <v>0</v>
      </c>
      <c r="I879" s="117"/>
      <c r="J879" s="117"/>
      <c r="K879" s="115">
        <f t="shared" si="856"/>
        <v>54064.935064935067</v>
      </c>
      <c r="L879" s="22">
        <f t="shared" si="857"/>
        <v>175.32467532467533</v>
      </c>
      <c r="M879" s="31">
        <v>0</v>
      </c>
      <c r="N879" s="31">
        <f t="shared" si="860"/>
        <v>0</v>
      </c>
      <c r="O879" s="44">
        <f t="shared" si="861"/>
        <v>0</v>
      </c>
      <c r="P879" s="49">
        <f t="shared" si="862"/>
        <v>0</v>
      </c>
      <c r="Q879" s="47">
        <f t="shared" si="863"/>
        <v>0</v>
      </c>
      <c r="R879" s="66">
        <f>IFERROR(G879/H879,20000)</f>
        <v>20000</v>
      </c>
      <c r="S879" s="92">
        <f t="shared" si="865"/>
        <v>0</v>
      </c>
      <c r="T879" s="93">
        <f t="shared" si="866"/>
        <v>0</v>
      </c>
      <c r="V879" s="98" t="str">
        <f t="shared" si="867"/>
        <v>PEI</v>
      </c>
      <c r="W879" s="102">
        <f t="shared" si="868"/>
        <v>500.97402597402595</v>
      </c>
      <c r="X879" s="103">
        <f t="shared" si="869"/>
        <v>2.5374237839937441E-3</v>
      </c>
      <c r="Y879" s="122">
        <f t="shared" si="870"/>
        <v>1</v>
      </c>
      <c r="Z879" s="123">
        <f t="shared" si="871"/>
        <v>0</v>
      </c>
      <c r="AA879" s="123">
        <f t="shared" si="872"/>
        <v>0</v>
      </c>
      <c r="AB879" s="124">
        <f t="shared" si="873"/>
        <v>2.711907333405335E-3</v>
      </c>
    </row>
    <row r="880" spans="2:28" ht="15" thickBot="1" x14ac:dyDescent="0.35">
      <c r="B880" s="5" t="s">
        <v>11</v>
      </c>
      <c r="C880" s="9">
        <v>261</v>
      </c>
      <c r="D880" s="15">
        <v>0.52400000000000002</v>
      </c>
      <c r="E880" s="9">
        <v>256</v>
      </c>
      <c r="F880" s="9">
        <v>3</v>
      </c>
      <c r="G880" s="9">
        <v>14499</v>
      </c>
      <c r="H880" s="119">
        <f t="shared" si="858"/>
        <v>2</v>
      </c>
      <c r="I880" s="117"/>
      <c r="J880" s="117"/>
      <c r="K880" s="115">
        <f t="shared" si="856"/>
        <v>27669.847328244272</v>
      </c>
      <c r="L880" s="22">
        <f t="shared" si="857"/>
        <v>498.09160305343511</v>
      </c>
      <c r="M880" s="31">
        <f>(H880-H866)/H866</f>
        <v>0</v>
      </c>
      <c r="N880" s="32">
        <f t="shared" si="860"/>
        <v>1.1583011583011582E-2</v>
      </c>
      <c r="O880" s="44">
        <f t="shared" si="861"/>
        <v>5.7251908396946565</v>
      </c>
      <c r="P880" s="50">
        <f t="shared" si="862"/>
        <v>1.1494252873563218E-2</v>
      </c>
      <c r="Q880" s="48">
        <f t="shared" si="863"/>
        <v>3.8167938931297707</v>
      </c>
      <c r="R880" s="67">
        <f>G880/H880</f>
        <v>7249.5</v>
      </c>
      <c r="S880" s="92">
        <f t="shared" si="865"/>
        <v>0</v>
      </c>
      <c r="T880" s="93">
        <f t="shared" si="866"/>
        <v>0</v>
      </c>
      <c r="V880" s="99" t="str">
        <f t="shared" si="867"/>
        <v>NFLD</v>
      </c>
      <c r="W880" s="120">
        <f t="shared" si="868"/>
        <v>200.31517557251911</v>
      </c>
      <c r="X880" s="103">
        <f t="shared" si="869"/>
        <v>1.4085365021505519E-2</v>
      </c>
      <c r="Y880" s="122">
        <f t="shared" si="870"/>
        <v>0.9923371647509579</v>
      </c>
      <c r="Z880" s="123">
        <f t="shared" si="871"/>
        <v>1.1583011583011582E-2</v>
      </c>
      <c r="AA880" s="123">
        <f t="shared" si="872"/>
        <v>1.1494252873563218E-2</v>
      </c>
      <c r="AB880" s="124">
        <f t="shared" si="873"/>
        <v>1.1191515140083496E-2</v>
      </c>
    </row>
    <row r="881" spans="2:28" ht="15" thickBot="1" x14ac:dyDescent="0.35">
      <c r="B881" s="11" t="s">
        <v>10</v>
      </c>
      <c r="C881" s="12">
        <v>98410</v>
      </c>
      <c r="D881" s="16">
        <v>37.6</v>
      </c>
      <c r="E881" s="12">
        <v>59354</v>
      </c>
      <c r="F881" s="12">
        <v>8107</v>
      </c>
      <c r="G881" s="12">
        <f>SUM(G871:G880)</f>
        <v>2206555</v>
      </c>
      <c r="H881" s="81">
        <f t="shared" si="858"/>
        <v>30949</v>
      </c>
      <c r="I881" s="117"/>
      <c r="J881" s="117"/>
      <c r="K881" s="77">
        <f t="shared" si="856"/>
        <v>58684.973404255317</v>
      </c>
      <c r="L881" s="23">
        <f t="shared" si="857"/>
        <v>2617.2872340425529</v>
      </c>
      <c r="M881" s="31">
        <f>(H881-H867)/H867</f>
        <v>-8.0813780813780808E-2</v>
      </c>
      <c r="N881" s="33">
        <f t="shared" si="860"/>
        <v>0.12017313707178963</v>
      </c>
      <c r="O881" s="45">
        <f>F881/D881</f>
        <v>215.61170212765956</v>
      </c>
      <c r="P881" s="53">
        <f t="shared" si="862"/>
        <v>8.2379839447210654E-2</v>
      </c>
      <c r="Q881" s="55">
        <f t="shared" si="863"/>
        <v>823.11170212765956</v>
      </c>
      <c r="R881" s="74">
        <f>G881/H881</f>
        <v>71.296487770202589</v>
      </c>
      <c r="S881" s="92">
        <f t="shared" si="865"/>
        <v>12.739361702127658</v>
      </c>
      <c r="T881" s="93">
        <f t="shared" si="866"/>
        <v>1.2689969604863223</v>
      </c>
      <c r="V881" s="108" t="str">
        <f t="shared" si="867"/>
        <v>Canada</v>
      </c>
      <c r="W881" s="109">
        <f t="shared" si="868"/>
        <v>15.272381829044066</v>
      </c>
      <c r="X881" s="103">
        <f t="shared" si="869"/>
        <v>3.489716312056737E-2</v>
      </c>
      <c r="Y881" s="122">
        <f t="shared" si="870"/>
        <v>0.68550960268265415</v>
      </c>
      <c r="Z881" s="123">
        <f t="shared" si="871"/>
        <v>0.12017313707178963</v>
      </c>
      <c r="AA881" s="123">
        <f t="shared" si="872"/>
        <v>8.2379839447210654E-2</v>
      </c>
      <c r="AB881" s="124">
        <f t="shared" si="873"/>
        <v>2.5630851063829788E-2</v>
      </c>
    </row>
    <row r="882" spans="2:28" ht="15" thickBot="1" x14ac:dyDescent="0.35">
      <c r="B882" s="6" t="s">
        <v>9</v>
      </c>
      <c r="C882" s="7">
        <v>2134986</v>
      </c>
      <c r="D882" s="7">
        <v>327</v>
      </c>
      <c r="E882" s="7">
        <v>846777</v>
      </c>
      <c r="F882" s="7">
        <v>117241</v>
      </c>
      <c r="G882" s="7">
        <v>24123593</v>
      </c>
      <c r="H882" s="82">
        <f t="shared" si="858"/>
        <v>1170968</v>
      </c>
      <c r="I882" s="117"/>
      <c r="J882" s="117"/>
      <c r="K882" s="78">
        <f t="shared" si="856"/>
        <v>73772.455657492348</v>
      </c>
      <c r="L882" s="24">
        <f t="shared" si="857"/>
        <v>6529.0091743119265</v>
      </c>
      <c r="M882" s="31">
        <f>(H882-H868)/H868</f>
        <v>4.2408768935903909E-2</v>
      </c>
      <c r="N882" s="33">
        <f t="shared" si="860"/>
        <v>0.12161702374851922</v>
      </c>
      <c r="O882" s="46">
        <f>F882/D882</f>
        <v>358.53516819571865</v>
      </c>
      <c r="P882" s="52">
        <f t="shared" si="862"/>
        <v>5.4914177423177481E-2</v>
      </c>
      <c r="Q882" s="54">
        <f t="shared" si="863"/>
        <v>3580.9418960244648</v>
      </c>
      <c r="R882" s="72">
        <f>G882/H882</f>
        <v>20.601410969386013</v>
      </c>
      <c r="S882" s="92">
        <f t="shared" si="865"/>
        <v>66.930100480559204</v>
      </c>
      <c r="T882" s="93">
        <f t="shared" si="866"/>
        <v>2.3149847094801221</v>
      </c>
      <c r="V882" s="108" t="str">
        <f t="shared" si="867"/>
        <v>USA</v>
      </c>
      <c r="W882" s="109">
        <f t="shared" si="868"/>
        <v>36.932551618171338</v>
      </c>
      <c r="X882" s="103">
        <f t="shared" si="869"/>
        <v>6.9249826164484121E-2</v>
      </c>
      <c r="Y882" s="122">
        <f t="shared" si="870"/>
        <v>0.45153364003323676</v>
      </c>
      <c r="Z882" s="123">
        <f t="shared" si="871"/>
        <v>0.12161702374851922</v>
      </c>
      <c r="AA882" s="123">
        <f t="shared" si="872"/>
        <v>5.4914177423177481E-2</v>
      </c>
      <c r="AB882" s="124">
        <f t="shared" si="873"/>
        <v>6.1143567550705651E-2</v>
      </c>
    </row>
    <row r="883" spans="2:28" ht="44.4" customHeight="1" thickBot="1" x14ac:dyDescent="0.35"/>
    <row r="884" spans="2:28" ht="58.2" thickBot="1" x14ac:dyDescent="0.35">
      <c r="B884" s="96">
        <v>43983</v>
      </c>
      <c r="C884" s="18" t="s">
        <v>8</v>
      </c>
      <c r="D884" s="19" t="s">
        <v>17</v>
      </c>
      <c r="E884" s="19" t="s">
        <v>15</v>
      </c>
      <c r="F884" s="19" t="s">
        <v>16</v>
      </c>
      <c r="G884" s="19" t="s">
        <v>14</v>
      </c>
      <c r="H884" s="20" t="s">
        <v>38</v>
      </c>
      <c r="I884" s="116"/>
      <c r="J884" s="116"/>
      <c r="K884" s="19" t="s">
        <v>21</v>
      </c>
      <c r="L884" s="19" t="s">
        <v>20</v>
      </c>
      <c r="M884" s="19" t="s">
        <v>40</v>
      </c>
      <c r="N884" s="19" t="s">
        <v>32</v>
      </c>
      <c r="O884" s="19" t="s">
        <v>22</v>
      </c>
      <c r="P884" s="51" t="s">
        <v>34</v>
      </c>
      <c r="Q884" s="20" t="s">
        <v>35</v>
      </c>
      <c r="R884" s="63" t="s">
        <v>39</v>
      </c>
      <c r="S884" s="91" t="s">
        <v>43</v>
      </c>
      <c r="T884" s="91" t="s">
        <v>44</v>
      </c>
      <c r="V884" s="104" t="s">
        <v>48</v>
      </c>
      <c r="W884" s="105" t="s">
        <v>49</v>
      </c>
      <c r="X884" s="106" t="s">
        <v>50</v>
      </c>
      <c r="Y884" s="61" t="s">
        <v>52</v>
      </c>
      <c r="Z884" s="61" t="s">
        <v>55</v>
      </c>
      <c r="AA884" s="61" t="s">
        <v>56</v>
      </c>
      <c r="AB884" s="61" t="s">
        <v>54</v>
      </c>
    </row>
    <row r="885" spans="2:28" x14ac:dyDescent="0.3">
      <c r="B885" s="3" t="s">
        <v>0</v>
      </c>
      <c r="C885" s="1">
        <v>33301</v>
      </c>
      <c r="D885" s="14">
        <v>14.45</v>
      </c>
      <c r="E885" s="1">
        <v>28468</v>
      </c>
      <c r="F885" s="1">
        <v>2595</v>
      </c>
      <c r="G885" s="1">
        <v>1151319</v>
      </c>
      <c r="H885" s="118">
        <f>C885-E885-F885</f>
        <v>2238</v>
      </c>
      <c r="I885" s="117"/>
      <c r="J885" s="117"/>
      <c r="K885" s="114">
        <f t="shared" ref="K885:K896" si="874">G885/D885</f>
        <v>79676.055363321808</v>
      </c>
      <c r="L885" s="21">
        <f t="shared" ref="L885:L896" si="875">C885/D885</f>
        <v>2304.5674740484428</v>
      </c>
      <c r="M885" s="31">
        <f>(H885-H871)/H871</f>
        <v>-0.24058364438411944</v>
      </c>
      <c r="N885" s="31">
        <f>F885/(E885+F885)</f>
        <v>8.35399027782249E-2</v>
      </c>
      <c r="O885" s="43">
        <f>F885/D885</f>
        <v>179.5847750865052</v>
      </c>
      <c r="P885" s="49">
        <f>F885/C885</f>
        <v>7.7925587820185577E-2</v>
      </c>
      <c r="Q885" s="47">
        <f>(C885-E885-F885)/D885</f>
        <v>154.87889273356402</v>
      </c>
      <c r="R885" s="66">
        <f>G885/H885</f>
        <v>514.44101876675609</v>
      </c>
      <c r="S885" s="92">
        <f>(C885-C871)/D885/7</f>
        <v>12.941176470588236</v>
      </c>
      <c r="T885" s="93">
        <f>(F885-F871)/D885/7</f>
        <v>0.86999505684626788</v>
      </c>
      <c r="V885" s="101" t="str">
        <f>B885</f>
        <v>ON</v>
      </c>
      <c r="W885" s="102">
        <f>L885/180+IFERROR((D885*C885*13)/(F885*F885),500)</f>
        <v>13.732105652042398</v>
      </c>
      <c r="X885" s="103">
        <f>L885/75000*K$895/K885</f>
        <v>2.5626507074565392E-2</v>
      </c>
      <c r="Y885" s="122">
        <f>(E885+F885)/C885</f>
        <v>0.93279481096663763</v>
      </c>
      <c r="Z885" s="123">
        <f>N885</f>
        <v>8.35399027782249E-2</v>
      </c>
      <c r="AA885" s="123">
        <f>P885</f>
        <v>7.7925587820185577E-2</v>
      </c>
      <c r="AB885" s="124">
        <f>X647</f>
        <v>2.1055386961576564E-2</v>
      </c>
    </row>
    <row r="886" spans="2:28" x14ac:dyDescent="0.3">
      <c r="B886" s="5" t="s">
        <v>1</v>
      </c>
      <c r="C886" s="1">
        <v>54674</v>
      </c>
      <c r="D886" s="14">
        <v>8.43</v>
      </c>
      <c r="E886" s="1">
        <v>23201</v>
      </c>
      <c r="F886" s="1">
        <v>5408</v>
      </c>
      <c r="G886" s="1">
        <v>557481</v>
      </c>
      <c r="H886" s="118">
        <f t="shared" ref="H886:H896" si="876">C886-E886-F886</f>
        <v>26065</v>
      </c>
      <c r="I886" s="117"/>
      <c r="J886" s="117"/>
      <c r="K886" s="114">
        <f t="shared" si="874"/>
        <v>66130.604982206409</v>
      </c>
      <c r="L886" s="21">
        <f t="shared" si="875"/>
        <v>6485.6465005931204</v>
      </c>
      <c r="M886" s="31">
        <f t="shared" ref="M886:M892" si="877">(H886-H872)/H872</f>
        <v>-4.6913851104285503E-2</v>
      </c>
      <c r="N886" s="31">
        <f t="shared" ref="N886:N896" si="878">F886/(E886+F886)</f>
        <v>0.1890314236778636</v>
      </c>
      <c r="O886" s="43">
        <f t="shared" ref="O886:O894" si="879">F886/D886</f>
        <v>641.51838671411622</v>
      </c>
      <c r="P886" s="49">
        <f t="shared" ref="P886:P896" si="880">F886/C886</f>
        <v>9.8913560376047122E-2</v>
      </c>
      <c r="Q886" s="47">
        <f t="shared" ref="Q886:Q896" si="881">(C886-E886-F886)/D886</f>
        <v>3091.9335705812573</v>
      </c>
      <c r="R886" s="66">
        <f t="shared" ref="R886:R891" si="882">G886/H886</f>
        <v>21.388106656435834</v>
      </c>
      <c r="S886" s="92">
        <f t="shared" ref="S886:S896" si="883">(C886-C872)/D886/7</f>
        <v>14.40433824775462</v>
      </c>
      <c r="T886" s="93">
        <f t="shared" ref="T886:T896" si="884">(F886-F872)/D886/7</f>
        <v>3.6095577020843925</v>
      </c>
      <c r="V886" s="98" t="str">
        <f t="shared" ref="V886:V896" si="885">B886</f>
        <v>QC</v>
      </c>
      <c r="W886" s="102">
        <f t="shared" ref="W886:W896" si="886">L886/180+IFERROR((D886*C886*13)/(F886*F886),500)</f>
        <v>36.236239467581953</v>
      </c>
      <c r="X886" s="103">
        <f t="shared" ref="X886:X896" si="887">L886/75000*K$895/K886</f>
        <v>8.6891759198840984E-2</v>
      </c>
      <c r="Y886" s="122">
        <f t="shared" ref="Y886:Y896" si="888">(E886+F886)/C886</f>
        <v>0.52326517174525367</v>
      </c>
      <c r="Z886" s="123">
        <f t="shared" ref="Z886:Z896" si="889">N886</f>
        <v>0.1890314236778636</v>
      </c>
      <c r="AA886" s="123">
        <f t="shared" ref="AA886:AA896" si="890">P886</f>
        <v>9.8913560376047122E-2</v>
      </c>
      <c r="AB886" s="124">
        <f t="shared" ref="AB886:AB896" si="891">X648</f>
        <v>6.4347060090916966E-2</v>
      </c>
    </row>
    <row r="887" spans="2:28" x14ac:dyDescent="0.3">
      <c r="B887" s="5" t="s">
        <v>2</v>
      </c>
      <c r="C887" s="1">
        <v>2790</v>
      </c>
      <c r="D887" s="14">
        <v>5.0199999999999996</v>
      </c>
      <c r="E887" s="1">
        <v>2444</v>
      </c>
      <c r="F887" s="1">
        <v>168</v>
      </c>
      <c r="G887" s="95">
        <v>175454</v>
      </c>
      <c r="H887" s="118">
        <f t="shared" si="876"/>
        <v>178</v>
      </c>
      <c r="I887" s="117"/>
      <c r="J887" s="117"/>
      <c r="K887" s="114">
        <f t="shared" si="874"/>
        <v>34950.99601593626</v>
      </c>
      <c r="L887" s="21">
        <f t="shared" si="875"/>
        <v>555.77689243027896</v>
      </c>
      <c r="M887" s="31">
        <f t="shared" si="877"/>
        <v>-4.8128342245989303E-2</v>
      </c>
      <c r="N887" s="31">
        <f t="shared" si="878"/>
        <v>6.4318529862174581E-2</v>
      </c>
      <c r="O887" s="43">
        <f t="shared" si="879"/>
        <v>33.466135458167336</v>
      </c>
      <c r="P887" s="49">
        <f t="shared" si="880"/>
        <v>6.0215053763440864E-2</v>
      </c>
      <c r="Q887" s="47">
        <f t="shared" si="881"/>
        <v>35.458167330677291</v>
      </c>
      <c r="R887" s="66">
        <f t="shared" si="882"/>
        <v>985.69662921348311</v>
      </c>
      <c r="S887" s="92">
        <f t="shared" si="883"/>
        <v>2.3050654524758114</v>
      </c>
      <c r="T887" s="93">
        <f t="shared" si="884"/>
        <v>0</v>
      </c>
      <c r="V887" s="98" t="str">
        <f t="shared" si="885"/>
        <v>BC</v>
      </c>
      <c r="W887" s="102">
        <f t="shared" si="886"/>
        <v>9.5387335860639073</v>
      </c>
      <c r="X887" s="103">
        <f t="shared" si="887"/>
        <v>1.4088629280051338E-2</v>
      </c>
      <c r="Y887" s="122">
        <f t="shared" si="888"/>
        <v>0.93620071684587813</v>
      </c>
      <c r="Z887" s="123">
        <f t="shared" si="889"/>
        <v>6.4318529862174581E-2</v>
      </c>
      <c r="AA887" s="123">
        <f t="shared" si="890"/>
        <v>6.0215053763440864E-2</v>
      </c>
      <c r="AB887" s="124">
        <f t="shared" si="891"/>
        <v>9.8166823723616625E-3</v>
      </c>
    </row>
    <row r="888" spans="2:28" x14ac:dyDescent="0.3">
      <c r="B888" s="5" t="s">
        <v>3</v>
      </c>
      <c r="C888" s="1">
        <v>7673</v>
      </c>
      <c r="D888" s="14">
        <v>4.34</v>
      </c>
      <c r="E888" s="1">
        <v>6996</v>
      </c>
      <c r="F888" s="1">
        <v>152</v>
      </c>
      <c r="G888" s="1">
        <v>381075</v>
      </c>
      <c r="H888" s="118">
        <f t="shared" si="876"/>
        <v>525</v>
      </c>
      <c r="I888" s="117"/>
      <c r="J888" s="117"/>
      <c r="K888" s="114">
        <f t="shared" si="874"/>
        <v>87805.299539170504</v>
      </c>
      <c r="L888" s="21">
        <f t="shared" si="875"/>
        <v>1767.9723502304148</v>
      </c>
      <c r="M888" s="31">
        <f t="shared" si="877"/>
        <v>0.30272952853598017</v>
      </c>
      <c r="N888" s="31">
        <f t="shared" si="878"/>
        <v>2.1264689423614997E-2</v>
      </c>
      <c r="O888" s="43">
        <f t="shared" si="879"/>
        <v>35.023041474654377</v>
      </c>
      <c r="P888" s="49">
        <f t="shared" si="880"/>
        <v>1.9809722403232113E-2</v>
      </c>
      <c r="Q888" s="47">
        <f t="shared" si="881"/>
        <v>120.96774193548387</v>
      </c>
      <c r="R888" s="66">
        <f t="shared" si="882"/>
        <v>725.85714285714289</v>
      </c>
      <c r="S888" s="92">
        <f t="shared" si="883"/>
        <v>9.5457537853851218</v>
      </c>
      <c r="T888" s="93">
        <f t="shared" si="884"/>
        <v>6.583278472679395E-2</v>
      </c>
      <c r="V888" s="98" t="str">
        <f t="shared" si="885"/>
        <v>AL</v>
      </c>
      <c r="W888" s="102">
        <f t="shared" si="886"/>
        <v>28.559545239815016</v>
      </c>
      <c r="X888" s="103">
        <f t="shared" si="887"/>
        <v>1.7839494820317475E-2</v>
      </c>
      <c r="Y888" s="122">
        <f t="shared" si="888"/>
        <v>0.93157826143620492</v>
      </c>
      <c r="Z888" s="123">
        <f t="shared" si="889"/>
        <v>2.1264689423614997E-2</v>
      </c>
      <c r="AA888" s="123">
        <f t="shared" si="890"/>
        <v>1.9809722403232113E-2</v>
      </c>
      <c r="AB888" s="124">
        <f t="shared" si="891"/>
        <v>1.5268750437518852E-2</v>
      </c>
    </row>
    <row r="889" spans="2:28" x14ac:dyDescent="0.3">
      <c r="B889" s="5" t="s">
        <v>4</v>
      </c>
      <c r="C889" s="1">
        <v>313</v>
      </c>
      <c r="D889" s="14">
        <v>1.36</v>
      </c>
      <c r="E889" s="1">
        <v>293</v>
      </c>
      <c r="F889" s="1">
        <v>7</v>
      </c>
      <c r="G889" s="1">
        <v>56317</v>
      </c>
      <c r="H889" s="118">
        <f t="shared" si="876"/>
        <v>13</v>
      </c>
      <c r="I889" s="117"/>
      <c r="J889" s="117"/>
      <c r="K889" s="114">
        <f t="shared" si="874"/>
        <v>41409.558823529405</v>
      </c>
      <c r="L889" s="21">
        <f t="shared" si="875"/>
        <v>230.14705882352939</v>
      </c>
      <c r="M889" s="31">
        <f t="shared" si="877"/>
        <v>1.6</v>
      </c>
      <c r="N889" s="31">
        <f t="shared" si="878"/>
        <v>2.3333333333333334E-2</v>
      </c>
      <c r="O889" s="43">
        <f t="shared" si="879"/>
        <v>5.1470588235294112</v>
      </c>
      <c r="P889" s="49">
        <f t="shared" si="880"/>
        <v>2.2364217252396165E-2</v>
      </c>
      <c r="Q889" s="47">
        <f t="shared" si="881"/>
        <v>9.5588235294117645</v>
      </c>
      <c r="R889" s="66">
        <f t="shared" si="882"/>
        <v>4332.0769230769229</v>
      </c>
      <c r="S889" s="92">
        <f t="shared" si="883"/>
        <v>1.260504201680672</v>
      </c>
      <c r="T889" s="93">
        <f t="shared" si="884"/>
        <v>0</v>
      </c>
      <c r="V889" s="98" t="str">
        <f t="shared" si="885"/>
        <v>MA</v>
      </c>
      <c r="W889" s="102">
        <f t="shared" si="886"/>
        <v>114.21410497532347</v>
      </c>
      <c r="X889" s="103">
        <f t="shared" si="887"/>
        <v>4.9241654605382875E-3</v>
      </c>
      <c r="Y889" s="122">
        <f t="shared" si="888"/>
        <v>0.95846645367412142</v>
      </c>
      <c r="Z889" s="123">
        <f t="shared" si="889"/>
        <v>2.3333333333333334E-2</v>
      </c>
      <c r="AA889" s="123">
        <f t="shared" si="890"/>
        <v>2.2364217252396165E-2</v>
      </c>
      <c r="AB889" s="124">
        <f t="shared" si="891"/>
        <v>4.0667851669695994E-3</v>
      </c>
    </row>
    <row r="890" spans="2:28" x14ac:dyDescent="0.3">
      <c r="B890" s="5" t="s">
        <v>5</v>
      </c>
      <c r="C890" s="1">
        <v>726</v>
      </c>
      <c r="D890" s="14">
        <v>1.17</v>
      </c>
      <c r="E890" s="1">
        <v>639</v>
      </c>
      <c r="F890" s="1">
        <v>13</v>
      </c>
      <c r="G890" s="1">
        <v>59252</v>
      </c>
      <c r="H890" s="118">
        <f t="shared" si="876"/>
        <v>74</v>
      </c>
      <c r="I890" s="117"/>
      <c r="J890" s="117"/>
      <c r="K890" s="114">
        <f t="shared" si="874"/>
        <v>50642.735042735047</v>
      </c>
      <c r="L890" s="21">
        <f t="shared" si="875"/>
        <v>620.51282051282055</v>
      </c>
      <c r="M890" s="31">
        <f t="shared" si="877"/>
        <v>2.0833333333333335</v>
      </c>
      <c r="N890" s="31">
        <f t="shared" si="878"/>
        <v>1.9938650306748466E-2</v>
      </c>
      <c r="O890" s="43">
        <f t="shared" si="879"/>
        <v>11.111111111111112</v>
      </c>
      <c r="P890" s="49">
        <f t="shared" si="880"/>
        <v>1.790633608815427E-2</v>
      </c>
      <c r="Q890" s="47">
        <f t="shared" si="881"/>
        <v>63.247863247863251</v>
      </c>
      <c r="R890" s="66">
        <f t="shared" si="882"/>
        <v>800.70270270270271</v>
      </c>
      <c r="S890" s="92">
        <f t="shared" si="883"/>
        <v>7.5702075702075708</v>
      </c>
      <c r="T890" s="93">
        <f t="shared" si="884"/>
        <v>0</v>
      </c>
      <c r="V890" s="98" t="str">
        <f t="shared" si="885"/>
        <v>SA</v>
      </c>
      <c r="W890" s="102">
        <f t="shared" si="886"/>
        <v>68.787293447293436</v>
      </c>
      <c r="X890" s="103">
        <f t="shared" si="887"/>
        <v>1.0855789624122571E-2</v>
      </c>
      <c r="Y890" s="122">
        <f t="shared" si="888"/>
        <v>0.89807162534435259</v>
      </c>
      <c r="Z890" s="123">
        <f t="shared" si="889"/>
        <v>1.9938650306748466E-2</v>
      </c>
      <c r="AA890" s="123">
        <f t="shared" si="890"/>
        <v>1.790633608815427E-2</v>
      </c>
      <c r="AB890" s="124">
        <f t="shared" si="891"/>
        <v>7.4238328708721478E-3</v>
      </c>
    </row>
    <row r="891" spans="2:28" x14ac:dyDescent="0.3">
      <c r="B891" s="5" t="s">
        <v>6</v>
      </c>
      <c r="C891" s="1">
        <v>1061</v>
      </c>
      <c r="D891" s="14">
        <v>0.96499999999999997</v>
      </c>
      <c r="E891" s="1">
        <v>998</v>
      </c>
      <c r="F891" s="1">
        <v>62</v>
      </c>
      <c r="G891" s="1">
        <f>50825+C891</f>
        <v>51886</v>
      </c>
      <c r="H891" s="118">
        <f t="shared" si="876"/>
        <v>1</v>
      </c>
      <c r="I891" s="117"/>
      <c r="J891" s="117"/>
      <c r="K891" s="114">
        <f t="shared" si="874"/>
        <v>53767.875647668392</v>
      </c>
      <c r="L891" s="21">
        <f t="shared" si="875"/>
        <v>1099.4818652849742</v>
      </c>
      <c r="M891" s="31">
        <f t="shared" si="877"/>
        <v>-0.66666666666666663</v>
      </c>
      <c r="N891" s="31">
        <f t="shared" si="878"/>
        <v>5.849056603773585E-2</v>
      </c>
      <c r="O891" s="43">
        <f t="shared" si="879"/>
        <v>64.248704663212436</v>
      </c>
      <c r="P891" s="49">
        <f t="shared" si="880"/>
        <v>5.8435438265786996E-2</v>
      </c>
      <c r="Q891" s="47">
        <f t="shared" si="881"/>
        <v>1.0362694300518136</v>
      </c>
      <c r="R891" s="66">
        <f t="shared" si="882"/>
        <v>51886</v>
      </c>
      <c r="S891" s="92">
        <f t="shared" si="883"/>
        <v>0</v>
      </c>
      <c r="T891" s="93">
        <f t="shared" si="884"/>
        <v>0</v>
      </c>
      <c r="V891" s="98" t="str">
        <f t="shared" si="885"/>
        <v>NS</v>
      </c>
      <c r="W891" s="102">
        <f t="shared" si="886"/>
        <v>9.5708353424607484</v>
      </c>
      <c r="X891" s="103">
        <f t="shared" si="887"/>
        <v>1.8117280341545281E-2</v>
      </c>
      <c r="Y891" s="122">
        <f t="shared" si="888"/>
        <v>0.99905749293119694</v>
      </c>
      <c r="Z891" s="123">
        <f t="shared" si="889"/>
        <v>5.849056603773585E-2</v>
      </c>
      <c r="AA891" s="123">
        <f t="shared" si="890"/>
        <v>5.8435438265786996E-2</v>
      </c>
      <c r="AB891" s="124">
        <f t="shared" si="891"/>
        <v>1.3923301740966293E-2</v>
      </c>
    </row>
    <row r="892" spans="2:28" x14ac:dyDescent="0.3">
      <c r="B892" s="5" t="s">
        <v>7</v>
      </c>
      <c r="C892" s="1">
        <v>164</v>
      </c>
      <c r="D892" s="14">
        <v>0.77200000000000002</v>
      </c>
      <c r="E892" s="1">
        <v>135</v>
      </c>
      <c r="F892" s="1">
        <v>2</v>
      </c>
      <c r="G892" s="1">
        <v>40255</v>
      </c>
      <c r="H892" s="118">
        <f t="shared" si="876"/>
        <v>27</v>
      </c>
      <c r="I892" s="117"/>
      <c r="J892" s="117"/>
      <c r="K892" s="114">
        <f t="shared" si="874"/>
        <v>52143.78238341969</v>
      </c>
      <c r="L892" s="21">
        <f t="shared" si="875"/>
        <v>212.43523316062175</v>
      </c>
      <c r="M892" s="31">
        <f t="shared" si="877"/>
        <v>-6.8965517241379309E-2</v>
      </c>
      <c r="N892" s="31">
        <f t="shared" si="878"/>
        <v>1.4598540145985401E-2</v>
      </c>
      <c r="O892" s="43">
        <f t="shared" si="879"/>
        <v>2.5906735751295336</v>
      </c>
      <c r="P892" s="49">
        <f t="shared" si="880"/>
        <v>1.2195121951219513E-2</v>
      </c>
      <c r="Q892" s="47">
        <f t="shared" si="881"/>
        <v>34.974093264248701</v>
      </c>
      <c r="R892" s="66">
        <f>IFERROR(G892/H892,20000)</f>
        <v>1490.9259259259259</v>
      </c>
      <c r="S892" s="92">
        <f t="shared" si="883"/>
        <v>1.2953367875647668</v>
      </c>
      <c r="T892" s="93">
        <f t="shared" si="884"/>
        <v>0</v>
      </c>
      <c r="V892" s="98" t="str">
        <f t="shared" si="885"/>
        <v>NB</v>
      </c>
      <c r="W892" s="102">
        <f t="shared" si="886"/>
        <v>412.65619573978125</v>
      </c>
      <c r="X892" s="103">
        <f t="shared" si="887"/>
        <v>3.6095397514603264E-3</v>
      </c>
      <c r="Y892" s="122">
        <f t="shared" si="888"/>
        <v>0.83536585365853655</v>
      </c>
      <c r="Z892" s="123">
        <f t="shared" si="889"/>
        <v>1.4598540145985401E-2</v>
      </c>
      <c r="AA892" s="123">
        <f t="shared" si="890"/>
        <v>1.2195121951219513E-2</v>
      </c>
      <c r="AB892" s="124">
        <f t="shared" si="891"/>
        <v>2.8548910776151353E-3</v>
      </c>
    </row>
    <row r="893" spans="2:28" x14ac:dyDescent="0.3">
      <c r="B893" s="5" t="s">
        <v>18</v>
      </c>
      <c r="C893" s="9">
        <v>27</v>
      </c>
      <c r="D893" s="15">
        <v>0.154</v>
      </c>
      <c r="E893" s="9">
        <v>27</v>
      </c>
      <c r="F893" s="9">
        <v>0</v>
      </c>
      <c r="G893" s="9">
        <v>9647</v>
      </c>
      <c r="H893" s="118">
        <f t="shared" si="876"/>
        <v>0</v>
      </c>
      <c r="I893" s="117"/>
      <c r="J893" s="117"/>
      <c r="K893" s="115">
        <f t="shared" si="874"/>
        <v>62642.857142857145</v>
      </c>
      <c r="L893" s="22">
        <f t="shared" si="875"/>
        <v>175.32467532467533</v>
      </c>
      <c r="M893" s="31">
        <v>0</v>
      </c>
      <c r="N893" s="31">
        <f t="shared" si="878"/>
        <v>0</v>
      </c>
      <c r="O893" s="44">
        <f t="shared" si="879"/>
        <v>0</v>
      </c>
      <c r="P893" s="49">
        <f t="shared" si="880"/>
        <v>0</v>
      </c>
      <c r="Q893" s="47">
        <f t="shared" si="881"/>
        <v>0</v>
      </c>
      <c r="R893" s="66">
        <f>IFERROR(G893/H893,20000)</f>
        <v>20000</v>
      </c>
      <c r="S893" s="92">
        <f t="shared" si="883"/>
        <v>0</v>
      </c>
      <c r="T893" s="93">
        <f t="shared" si="884"/>
        <v>0</v>
      </c>
      <c r="V893" s="98" t="str">
        <f t="shared" si="885"/>
        <v>PEI</v>
      </c>
      <c r="W893" s="102">
        <f t="shared" si="886"/>
        <v>500.97402597402595</v>
      </c>
      <c r="X893" s="103">
        <f t="shared" si="887"/>
        <v>2.4797008881605785E-3</v>
      </c>
      <c r="Y893" s="122">
        <f t="shared" si="888"/>
        <v>1</v>
      </c>
      <c r="Z893" s="123">
        <f t="shared" si="889"/>
        <v>0</v>
      </c>
      <c r="AA893" s="123">
        <f t="shared" si="890"/>
        <v>0</v>
      </c>
      <c r="AB893" s="124">
        <f t="shared" si="891"/>
        <v>2.9509548080662185E-3</v>
      </c>
    </row>
    <row r="894" spans="2:28" ht="15" thickBot="1" x14ac:dyDescent="0.35">
      <c r="B894" s="5" t="s">
        <v>11</v>
      </c>
      <c r="C894" s="9">
        <v>261</v>
      </c>
      <c r="D894" s="15">
        <v>0.52400000000000002</v>
      </c>
      <c r="E894" s="9">
        <v>258</v>
      </c>
      <c r="F894" s="9">
        <v>3</v>
      </c>
      <c r="G894" s="9">
        <v>15800</v>
      </c>
      <c r="H894" s="119">
        <f t="shared" si="876"/>
        <v>0</v>
      </c>
      <c r="I894" s="117"/>
      <c r="J894" s="117"/>
      <c r="K894" s="115">
        <f t="shared" si="874"/>
        <v>30152.67175572519</v>
      </c>
      <c r="L894" s="22">
        <f t="shared" si="875"/>
        <v>498.09160305343511</v>
      </c>
      <c r="M894" s="31">
        <f>(H894-H880)/H880</f>
        <v>-1</v>
      </c>
      <c r="N894" s="32">
        <f t="shared" si="878"/>
        <v>1.1494252873563218E-2</v>
      </c>
      <c r="O894" s="44">
        <f t="shared" si="879"/>
        <v>5.7251908396946565</v>
      </c>
      <c r="P894" s="50">
        <f t="shared" si="880"/>
        <v>1.1494252873563218E-2</v>
      </c>
      <c r="Q894" s="48">
        <f t="shared" si="881"/>
        <v>0</v>
      </c>
      <c r="R894" s="67" t="e">
        <f>G894/H894</f>
        <v>#DIV/0!</v>
      </c>
      <c r="S894" s="92">
        <f t="shared" si="883"/>
        <v>0</v>
      </c>
      <c r="T894" s="93">
        <f t="shared" si="884"/>
        <v>0</v>
      </c>
      <c r="V894" s="99" t="str">
        <f t="shared" si="885"/>
        <v>NFLD</v>
      </c>
      <c r="W894" s="120">
        <f t="shared" si="886"/>
        <v>200.31517557251911</v>
      </c>
      <c r="X894" s="103">
        <f t="shared" si="887"/>
        <v>1.4635623619714514E-2</v>
      </c>
      <c r="Y894" s="122">
        <f t="shared" si="888"/>
        <v>1</v>
      </c>
      <c r="Z894" s="123">
        <f t="shared" si="889"/>
        <v>1.1494252873563218E-2</v>
      </c>
      <c r="AA894" s="123">
        <f t="shared" si="890"/>
        <v>1.1494252873563218E-2</v>
      </c>
      <c r="AB894" s="124">
        <f t="shared" si="891"/>
        <v>1.2047108396610976E-2</v>
      </c>
    </row>
    <row r="895" spans="2:28" ht="15" thickBot="1" x14ac:dyDescent="0.35">
      <c r="B895" s="11" t="s">
        <v>10</v>
      </c>
      <c r="C895" s="12">
        <v>101019</v>
      </c>
      <c r="D895" s="16">
        <v>37.6</v>
      </c>
      <c r="E895" s="12">
        <v>63488</v>
      </c>
      <c r="F895" s="12">
        <v>8410</v>
      </c>
      <c r="G895" s="12">
        <f>SUM(G885:G894)</f>
        <v>2498486</v>
      </c>
      <c r="H895" s="81">
        <f t="shared" si="876"/>
        <v>29121</v>
      </c>
      <c r="I895" s="117"/>
      <c r="J895" s="117"/>
      <c r="K895" s="77">
        <f t="shared" si="874"/>
        <v>66449.095744680846</v>
      </c>
      <c r="L895" s="23">
        <f t="shared" si="875"/>
        <v>2686.6755319148933</v>
      </c>
      <c r="M895" s="31">
        <f>(H895-H881)/H881</f>
        <v>-5.9064913244369771E-2</v>
      </c>
      <c r="N895" s="33">
        <f t="shared" si="878"/>
        <v>0.11697126484742273</v>
      </c>
      <c r="O895" s="45">
        <f>F895/D895</f>
        <v>223.67021276595744</v>
      </c>
      <c r="P895" s="53">
        <f t="shared" si="880"/>
        <v>8.325166552826696E-2</v>
      </c>
      <c r="Q895" s="55">
        <f t="shared" si="881"/>
        <v>774.49468085106378</v>
      </c>
      <c r="R895" s="74">
        <f>G895/H895</f>
        <v>85.796710277806397</v>
      </c>
      <c r="S895" s="92">
        <f t="shared" si="883"/>
        <v>9.9126139817629166</v>
      </c>
      <c r="T895" s="93">
        <f t="shared" si="884"/>
        <v>1.1512158054711246</v>
      </c>
      <c r="V895" s="108" t="str">
        <f t="shared" si="885"/>
        <v>Canada</v>
      </c>
      <c r="W895" s="109">
        <f t="shared" si="886"/>
        <v>15.624114773872664</v>
      </c>
      <c r="X895" s="103">
        <f t="shared" si="887"/>
        <v>3.5822340425531909E-2</v>
      </c>
      <c r="Y895" s="122">
        <f t="shared" si="888"/>
        <v>0.71172749680753122</v>
      </c>
      <c r="Z895" s="123">
        <f t="shared" si="889"/>
        <v>0.11697126484742273</v>
      </c>
      <c r="AA895" s="123">
        <f t="shared" si="890"/>
        <v>8.325166552826696E-2</v>
      </c>
      <c r="AB895" s="124">
        <f t="shared" si="891"/>
        <v>2.8419148936170209E-2</v>
      </c>
    </row>
    <row r="896" spans="2:28" ht="15" thickBot="1" x14ac:dyDescent="0.35">
      <c r="B896" s="6" t="s">
        <v>9</v>
      </c>
      <c r="C896" s="7">
        <v>2318871</v>
      </c>
      <c r="D896" s="7">
        <v>327</v>
      </c>
      <c r="E896" s="7">
        <v>962880</v>
      </c>
      <c r="F896" s="7">
        <v>121752</v>
      </c>
      <c r="G896" s="7">
        <v>27626201</v>
      </c>
      <c r="H896" s="82">
        <f t="shared" si="876"/>
        <v>1234239</v>
      </c>
      <c r="I896" s="117"/>
      <c r="J896" s="117"/>
      <c r="K896" s="78">
        <f t="shared" si="874"/>
        <v>84483.795107033642</v>
      </c>
      <c r="L896" s="24">
        <f t="shared" si="875"/>
        <v>7091.3486238532114</v>
      </c>
      <c r="M896" s="31">
        <f>(H896-H882)/H882</f>
        <v>5.4033073491333669E-2</v>
      </c>
      <c r="N896" s="33">
        <f t="shared" si="878"/>
        <v>0.11225189741774169</v>
      </c>
      <c r="O896" s="46">
        <f>F896/D896</f>
        <v>372.33027522935782</v>
      </c>
      <c r="P896" s="52">
        <f t="shared" si="880"/>
        <v>5.2504861201852111E-2</v>
      </c>
      <c r="Q896" s="54">
        <f t="shared" si="881"/>
        <v>3774.4311926605506</v>
      </c>
      <c r="R896" s="72">
        <f>G896/H896</f>
        <v>22.383185914559498</v>
      </c>
      <c r="S896" s="92">
        <f t="shared" si="883"/>
        <v>80.33420707732634</v>
      </c>
      <c r="T896" s="93">
        <f t="shared" si="884"/>
        <v>1.9707295762341634</v>
      </c>
      <c r="V896" s="108" t="str">
        <f t="shared" si="885"/>
        <v>USA</v>
      </c>
      <c r="W896" s="109">
        <f t="shared" si="886"/>
        <v>40.061371812746017</v>
      </c>
      <c r="X896" s="103">
        <f t="shared" si="887"/>
        <v>7.4367508872495755E-2</v>
      </c>
      <c r="Y896" s="122">
        <f t="shared" si="888"/>
        <v>0.46774141381732748</v>
      </c>
      <c r="Z896" s="123">
        <f t="shared" si="889"/>
        <v>0.11225189741774169</v>
      </c>
      <c r="AA896" s="123">
        <f t="shared" si="890"/>
        <v>5.2504861201852111E-2</v>
      </c>
      <c r="AB896" s="124">
        <f t="shared" si="891"/>
        <v>6.1961074877876748E-2</v>
      </c>
    </row>
    <row r="897" spans="2:28" ht="44.4" customHeight="1" thickBot="1" x14ac:dyDescent="0.35"/>
    <row r="898" spans="2:28" ht="58.2" thickBot="1" x14ac:dyDescent="0.35">
      <c r="B898" s="96">
        <v>46539</v>
      </c>
      <c r="C898" s="18" t="s">
        <v>8</v>
      </c>
      <c r="D898" s="19" t="s">
        <v>17</v>
      </c>
      <c r="E898" s="19" t="s">
        <v>15</v>
      </c>
      <c r="F898" s="19" t="s">
        <v>16</v>
      </c>
      <c r="G898" s="19" t="s">
        <v>14</v>
      </c>
      <c r="H898" s="20" t="s">
        <v>38</v>
      </c>
      <c r="I898" s="116"/>
      <c r="J898" s="116"/>
      <c r="K898" s="19" t="s">
        <v>21</v>
      </c>
      <c r="L898" s="19" t="s">
        <v>20</v>
      </c>
      <c r="M898" s="19" t="s">
        <v>40</v>
      </c>
      <c r="N898" s="19" t="s">
        <v>32</v>
      </c>
      <c r="O898" s="19" t="s">
        <v>22</v>
      </c>
      <c r="P898" s="51" t="s">
        <v>34</v>
      </c>
      <c r="Q898" s="20" t="s">
        <v>35</v>
      </c>
      <c r="R898" s="63" t="s">
        <v>39</v>
      </c>
      <c r="S898" s="91" t="s">
        <v>43</v>
      </c>
      <c r="T898" s="91" t="s">
        <v>44</v>
      </c>
      <c r="V898" s="104" t="s">
        <v>48</v>
      </c>
      <c r="W898" s="105" t="s">
        <v>49</v>
      </c>
      <c r="X898" s="106" t="s">
        <v>50</v>
      </c>
      <c r="Y898" s="61" t="s">
        <v>52</v>
      </c>
      <c r="Z898" s="61" t="s">
        <v>55</v>
      </c>
      <c r="AA898" s="61" t="s">
        <v>56</v>
      </c>
      <c r="AB898" s="61" t="s">
        <v>54</v>
      </c>
    </row>
    <row r="899" spans="2:28" x14ac:dyDescent="0.3">
      <c r="B899" s="3" t="s">
        <v>0</v>
      </c>
      <c r="C899" s="1">
        <v>34476</v>
      </c>
      <c r="D899" s="14">
        <v>14.45</v>
      </c>
      <c r="E899" s="1">
        <v>29932</v>
      </c>
      <c r="F899" s="1">
        <v>2652</v>
      </c>
      <c r="G899" s="1">
        <v>1327806</v>
      </c>
      <c r="H899" s="118">
        <f>C899-E899-F899</f>
        <v>1892</v>
      </c>
      <c r="I899" s="117"/>
      <c r="J899" s="117"/>
      <c r="K899" s="114">
        <f t="shared" ref="K899:K910" si="892">G899/D899</f>
        <v>91889.688581314884</v>
      </c>
      <c r="L899" s="21">
        <f t="shared" ref="L899:L910" si="893">C899/D899</f>
        <v>2385.8823529411766</v>
      </c>
      <c r="M899" s="31">
        <f t="shared" ref="M899:M906" si="894">(H899-H886)/H886</f>
        <v>-0.92741223863418376</v>
      </c>
      <c r="N899" s="31">
        <f>F899/(E899+F899)</f>
        <v>8.1389639086668297E-2</v>
      </c>
      <c r="O899" s="43">
        <f>F899/D899</f>
        <v>183.52941176470588</v>
      </c>
      <c r="P899" s="49">
        <f>F899/C899</f>
        <v>7.6923076923076927E-2</v>
      </c>
      <c r="Q899" s="47">
        <f>(C899-E899-F899)/D899</f>
        <v>130.93425605536333</v>
      </c>
      <c r="R899" s="66">
        <f>G899/H899</f>
        <v>701.80021141649047</v>
      </c>
      <c r="S899" s="92">
        <f>(C899-C885)/D899/7</f>
        <v>11.616411270390511</v>
      </c>
      <c r="T899" s="93">
        <f>(F899-F885)/D899/7</f>
        <v>0.56351952545724171</v>
      </c>
      <c r="V899" s="101" t="str">
        <f>B899</f>
        <v>ON</v>
      </c>
      <c r="W899" s="102">
        <f>L899/180+IFERROR((D899*C899*13)/(F899*F899),500)</f>
        <v>14.175735294117647</v>
      </c>
      <c r="X899" s="103">
        <f>L899/75000*K$909/K899</f>
        <v>2.5611222710982418E-2</v>
      </c>
      <c r="Y899" s="122">
        <f>(E899+F899)/C899</f>
        <v>0.94512124376377771</v>
      </c>
      <c r="Z899" s="123">
        <f>N899</f>
        <v>8.1389639086668297E-2</v>
      </c>
      <c r="AA899" s="123">
        <f>P899</f>
        <v>7.6923076923076927E-2</v>
      </c>
      <c r="AB899" s="124">
        <f>X731</f>
        <v>2.3297334801426924E-2</v>
      </c>
    </row>
    <row r="900" spans="2:28" x14ac:dyDescent="0.3">
      <c r="B900" s="5" t="s">
        <v>1</v>
      </c>
      <c r="C900" s="1">
        <v>55079</v>
      </c>
      <c r="D900" s="14">
        <v>8.43</v>
      </c>
      <c r="E900" s="1">
        <v>23786</v>
      </c>
      <c r="F900" s="1">
        <v>5448</v>
      </c>
      <c r="G900" s="1">
        <f>524578+55079+8227</f>
        <v>587884</v>
      </c>
      <c r="H900" s="118">
        <f t="shared" ref="H900:H910" si="895">C900-E900-F900</f>
        <v>25845</v>
      </c>
      <c r="I900" s="117"/>
      <c r="J900" s="117"/>
      <c r="K900" s="114">
        <f t="shared" si="892"/>
        <v>69737.129300118628</v>
      </c>
      <c r="L900" s="21">
        <f t="shared" si="893"/>
        <v>6533.6892052194544</v>
      </c>
      <c r="M900" s="31">
        <f t="shared" si="894"/>
        <v>144.19662921348313</v>
      </c>
      <c r="N900" s="31">
        <f t="shared" ref="N900:N910" si="896">F900/(E900+F900)</f>
        <v>0.18635834986659369</v>
      </c>
      <c r="O900" s="43">
        <f t="shared" ref="O900:O908" si="897">F900/D900</f>
        <v>646.26334519572958</v>
      </c>
      <c r="P900" s="49">
        <f t="shared" ref="P900:P910" si="898">F900/C900</f>
        <v>9.8912471177762848E-2</v>
      </c>
      <c r="Q900" s="47">
        <f t="shared" ref="Q900:Q910" si="899">(C900-E900-F900)/D900</f>
        <v>3065.8362989323846</v>
      </c>
      <c r="R900" s="66">
        <f t="shared" ref="R900:R905" si="900">G900/H900</f>
        <v>22.74652737473399</v>
      </c>
      <c r="S900" s="92">
        <f t="shared" ref="S900:S910" si="901">(C900-C886)/D900/7</f>
        <v>6.8632435180477884</v>
      </c>
      <c r="T900" s="93">
        <f t="shared" ref="T900:T910" si="902">(F900-F886)/D900/7</f>
        <v>0.67785121165904083</v>
      </c>
      <c r="V900" s="98" t="str">
        <f t="shared" ref="V900:V910" si="903">B900</f>
        <v>QC</v>
      </c>
      <c r="W900" s="102">
        <f t="shared" ref="W900:W910" si="904">L900/180+IFERROR((D900*C900*13)/(F900*F900),500)</f>
        <v>36.501641436416413</v>
      </c>
      <c r="X900" s="103">
        <f t="shared" ref="X900:X910" si="905">L900/75000*K$909/K900</f>
        <v>9.2415001241862207E-2</v>
      </c>
      <c r="Y900" s="122">
        <f t="shared" ref="Y900:Y910" si="906">(E900+F900)/C900</f>
        <v>0.53076490132355347</v>
      </c>
      <c r="Z900" s="123">
        <f t="shared" ref="Z900:Z910" si="907">N900</f>
        <v>0.18635834986659369</v>
      </c>
      <c r="AA900" s="123">
        <f t="shared" ref="AA900:AA910" si="908">P900</f>
        <v>9.8912471177762848E-2</v>
      </c>
      <c r="AB900" s="124">
        <f t="shared" ref="AB900:AB910" si="909">X732</f>
        <v>6.9036285610009351E-2</v>
      </c>
    </row>
    <row r="901" spans="2:28" x14ac:dyDescent="0.3">
      <c r="B901" s="5" t="s">
        <v>2</v>
      </c>
      <c r="C901" s="1">
        <v>2878</v>
      </c>
      <c r="D901" s="14">
        <v>5.0199999999999996</v>
      </c>
      <c r="E901" s="1">
        <v>2545</v>
      </c>
      <c r="F901" s="1">
        <v>174</v>
      </c>
      <c r="G901" s="95">
        <v>187748</v>
      </c>
      <c r="H901" s="118">
        <f t="shared" si="895"/>
        <v>159</v>
      </c>
      <c r="I901" s="117"/>
      <c r="J901" s="117"/>
      <c r="K901" s="114">
        <f t="shared" si="892"/>
        <v>37400</v>
      </c>
      <c r="L901" s="21">
        <f t="shared" si="893"/>
        <v>573.30677290836661</v>
      </c>
      <c r="M901" s="31">
        <f t="shared" si="894"/>
        <v>-0.69714285714285718</v>
      </c>
      <c r="N901" s="31">
        <f t="shared" si="896"/>
        <v>6.3994115483633693E-2</v>
      </c>
      <c r="O901" s="43">
        <f t="shared" si="897"/>
        <v>34.661354581673308</v>
      </c>
      <c r="P901" s="49">
        <f t="shared" si="898"/>
        <v>6.0458651841556639E-2</v>
      </c>
      <c r="Q901" s="47">
        <f t="shared" si="899"/>
        <v>31.673306772908369</v>
      </c>
      <c r="R901" s="66">
        <f t="shared" si="900"/>
        <v>1180.8050314465409</v>
      </c>
      <c r="S901" s="92">
        <f t="shared" si="901"/>
        <v>2.5042686397268072</v>
      </c>
      <c r="T901" s="93">
        <f t="shared" si="902"/>
        <v>0.17074558907228229</v>
      </c>
      <c r="V901" s="98" t="str">
        <f t="shared" si="903"/>
        <v>BC</v>
      </c>
      <c r="W901" s="102">
        <f t="shared" si="904"/>
        <v>9.3885744220896843</v>
      </c>
      <c r="X901" s="103">
        <f t="shared" si="905"/>
        <v>1.5120408962247119E-2</v>
      </c>
      <c r="Y901" s="122">
        <f t="shared" si="906"/>
        <v>0.94475330090340515</v>
      </c>
      <c r="Z901" s="123">
        <f t="shared" si="907"/>
        <v>6.3994115483633693E-2</v>
      </c>
      <c r="AA901" s="123">
        <f t="shared" si="908"/>
        <v>6.0458651841556639E-2</v>
      </c>
      <c r="AB901" s="124">
        <f t="shared" si="909"/>
        <v>1.0474165774124343E-2</v>
      </c>
    </row>
    <row r="902" spans="2:28" x14ac:dyDescent="0.3">
      <c r="B902" s="5" t="s">
        <v>3</v>
      </c>
      <c r="C902" s="1">
        <v>7957</v>
      </c>
      <c r="D902" s="14">
        <v>4.34</v>
      </c>
      <c r="E902" s="1">
        <v>7283</v>
      </c>
      <c r="F902" s="1">
        <v>154</v>
      </c>
      <c r="G902" s="1">
        <v>428743</v>
      </c>
      <c r="H902" s="118">
        <f t="shared" si="895"/>
        <v>520</v>
      </c>
      <c r="I902" s="117"/>
      <c r="J902" s="117"/>
      <c r="K902" s="114">
        <f t="shared" si="892"/>
        <v>98788.709677419363</v>
      </c>
      <c r="L902" s="21">
        <f t="shared" si="893"/>
        <v>1833.4101382488479</v>
      </c>
      <c r="M902" s="31">
        <f t="shared" si="894"/>
        <v>39</v>
      </c>
      <c r="N902" s="31">
        <f t="shared" si="896"/>
        <v>2.0707274438617723E-2</v>
      </c>
      <c r="O902" s="43">
        <f t="shared" si="897"/>
        <v>35.483870967741936</v>
      </c>
      <c r="P902" s="49">
        <f t="shared" si="898"/>
        <v>1.9354027899962298E-2</v>
      </c>
      <c r="Q902" s="47">
        <f t="shared" si="899"/>
        <v>119.81566820276498</v>
      </c>
      <c r="R902" s="66">
        <f t="shared" si="900"/>
        <v>824.50576923076926</v>
      </c>
      <c r="S902" s="92">
        <f t="shared" si="901"/>
        <v>9.3482554312047395</v>
      </c>
      <c r="T902" s="93">
        <f t="shared" si="902"/>
        <v>6.583278472679395E-2</v>
      </c>
      <c r="V902" s="98" t="str">
        <f t="shared" si="903"/>
        <v>AL</v>
      </c>
      <c r="W902" s="102">
        <f t="shared" si="904"/>
        <v>29.115192752832048</v>
      </c>
      <c r="X902" s="103">
        <f t="shared" si="905"/>
        <v>1.830629189934627E-2</v>
      </c>
      <c r="Y902" s="122">
        <f t="shared" si="906"/>
        <v>0.93464873696116624</v>
      </c>
      <c r="Z902" s="123">
        <f t="shared" si="907"/>
        <v>2.0707274438617723E-2</v>
      </c>
      <c r="AA902" s="123">
        <f t="shared" si="908"/>
        <v>1.9354027899962298E-2</v>
      </c>
      <c r="AB902" s="124">
        <f t="shared" si="909"/>
        <v>1.5967285027003088E-2</v>
      </c>
    </row>
    <row r="903" spans="2:28" x14ac:dyDescent="0.3">
      <c r="B903" s="5" t="s">
        <v>4</v>
      </c>
      <c r="C903" s="1">
        <v>318</v>
      </c>
      <c r="D903" s="14">
        <v>1.36</v>
      </c>
      <c r="E903" s="1">
        <v>300</v>
      </c>
      <c r="F903" s="1">
        <v>7</v>
      </c>
      <c r="G903" s="1">
        <v>60775</v>
      </c>
      <c r="H903" s="118">
        <f t="shared" si="895"/>
        <v>11</v>
      </c>
      <c r="I903" s="117"/>
      <c r="J903" s="117"/>
      <c r="K903" s="114">
        <f t="shared" si="892"/>
        <v>44687.5</v>
      </c>
      <c r="L903" s="21">
        <f t="shared" si="893"/>
        <v>233.8235294117647</v>
      </c>
      <c r="M903" s="31">
        <f t="shared" si="894"/>
        <v>-0.85135135135135132</v>
      </c>
      <c r="N903" s="31">
        <f t="shared" si="896"/>
        <v>2.2801302931596091E-2</v>
      </c>
      <c r="O903" s="43">
        <f t="shared" si="897"/>
        <v>5.1470588235294112</v>
      </c>
      <c r="P903" s="49">
        <f t="shared" si="898"/>
        <v>2.20125786163522E-2</v>
      </c>
      <c r="Q903" s="47">
        <f t="shared" si="899"/>
        <v>8.0882352941176467</v>
      </c>
      <c r="R903" s="66">
        <f t="shared" si="900"/>
        <v>5525</v>
      </c>
      <c r="S903" s="92">
        <f t="shared" si="901"/>
        <v>0.52521008403361347</v>
      </c>
      <c r="T903" s="93">
        <f t="shared" si="902"/>
        <v>0</v>
      </c>
      <c r="V903" s="98" t="str">
        <f t="shared" si="903"/>
        <v>MA</v>
      </c>
      <c r="W903" s="102">
        <f t="shared" si="904"/>
        <v>116.03861144457782</v>
      </c>
      <c r="X903" s="103">
        <f t="shared" si="905"/>
        <v>5.161194430100562E-3</v>
      </c>
      <c r="Y903" s="122">
        <f t="shared" si="906"/>
        <v>0.96540880503144655</v>
      </c>
      <c r="Z903" s="123">
        <f t="shared" si="907"/>
        <v>2.2801302931596091E-2</v>
      </c>
      <c r="AA903" s="123">
        <f t="shared" si="908"/>
        <v>2.20125786163522E-2</v>
      </c>
      <c r="AB903" s="124">
        <f t="shared" si="909"/>
        <v>4.0915345795945321E-3</v>
      </c>
    </row>
    <row r="904" spans="2:28" x14ac:dyDescent="0.3">
      <c r="B904" s="5" t="s">
        <v>5</v>
      </c>
      <c r="C904" s="1">
        <v>777</v>
      </c>
      <c r="D904" s="14">
        <v>1.17</v>
      </c>
      <c r="E904" s="1">
        <v>661</v>
      </c>
      <c r="F904" s="1">
        <v>13</v>
      </c>
      <c r="G904" s="1">
        <v>64161</v>
      </c>
      <c r="H904" s="118">
        <f t="shared" si="895"/>
        <v>103</v>
      </c>
      <c r="I904" s="117"/>
      <c r="J904" s="117"/>
      <c r="K904" s="114">
        <f t="shared" si="892"/>
        <v>54838.461538461539</v>
      </c>
      <c r="L904" s="21">
        <f t="shared" si="893"/>
        <v>664.10256410256409</v>
      </c>
      <c r="M904" s="31">
        <f t="shared" si="894"/>
        <v>102</v>
      </c>
      <c r="N904" s="31">
        <f t="shared" si="896"/>
        <v>1.9287833827893175E-2</v>
      </c>
      <c r="O904" s="43">
        <f t="shared" si="897"/>
        <v>11.111111111111112</v>
      </c>
      <c r="P904" s="49">
        <f t="shared" si="898"/>
        <v>1.6731016731016731E-2</v>
      </c>
      <c r="Q904" s="47">
        <f t="shared" si="899"/>
        <v>88.034188034188034</v>
      </c>
      <c r="R904" s="66">
        <f t="shared" si="900"/>
        <v>622.92233009708741</v>
      </c>
      <c r="S904" s="92">
        <f t="shared" si="901"/>
        <v>6.2271062271062272</v>
      </c>
      <c r="T904" s="93">
        <f t="shared" si="902"/>
        <v>0</v>
      </c>
      <c r="V904" s="98" t="str">
        <f t="shared" si="903"/>
        <v>SA</v>
      </c>
      <c r="W904" s="102">
        <f t="shared" si="904"/>
        <v>73.619458689458682</v>
      </c>
      <c r="X904" s="103">
        <f t="shared" si="905"/>
        <v>1.1945324776401919E-2</v>
      </c>
      <c r="Y904" s="122">
        <f t="shared" si="906"/>
        <v>0.86743886743886744</v>
      </c>
      <c r="Z904" s="123">
        <f t="shared" si="907"/>
        <v>1.9287833827893175E-2</v>
      </c>
      <c r="AA904" s="123">
        <f t="shared" si="908"/>
        <v>1.6731016731016731E-2</v>
      </c>
      <c r="AB904" s="124">
        <f t="shared" si="909"/>
        <v>8.0054038205254682E-3</v>
      </c>
    </row>
    <row r="905" spans="2:28" x14ac:dyDescent="0.3">
      <c r="B905" s="5" t="s">
        <v>6</v>
      </c>
      <c r="C905" s="1">
        <v>1061</v>
      </c>
      <c r="D905" s="14">
        <v>0.96499999999999997</v>
      </c>
      <c r="E905" s="1">
        <v>998</v>
      </c>
      <c r="F905" s="1">
        <v>63</v>
      </c>
      <c r="G905" s="1">
        <f>52811+C905</f>
        <v>53872</v>
      </c>
      <c r="H905" s="118">
        <f t="shared" si="895"/>
        <v>0</v>
      </c>
      <c r="I905" s="117"/>
      <c r="J905" s="117"/>
      <c r="K905" s="114">
        <f t="shared" si="892"/>
        <v>55825.906735751298</v>
      </c>
      <c r="L905" s="21">
        <f t="shared" si="893"/>
        <v>1099.4818652849742</v>
      </c>
      <c r="M905" s="31">
        <f t="shared" si="894"/>
        <v>-1</v>
      </c>
      <c r="N905" s="31">
        <f t="shared" si="896"/>
        <v>5.937794533459001E-2</v>
      </c>
      <c r="O905" s="43">
        <f t="shared" si="897"/>
        <v>65.284974093264253</v>
      </c>
      <c r="P905" s="49">
        <f t="shared" si="898"/>
        <v>5.937794533459001E-2</v>
      </c>
      <c r="Q905" s="47">
        <f t="shared" si="899"/>
        <v>0</v>
      </c>
      <c r="R905" s="66" t="e">
        <f t="shared" si="900"/>
        <v>#DIV/0!</v>
      </c>
      <c r="S905" s="92">
        <f t="shared" si="901"/>
        <v>0</v>
      </c>
      <c r="T905" s="93">
        <f t="shared" si="902"/>
        <v>0.14803849000740193</v>
      </c>
      <c r="V905" s="98" t="str">
        <f t="shared" si="903"/>
        <v>NS</v>
      </c>
      <c r="W905" s="102">
        <f t="shared" si="904"/>
        <v>9.4617838572773199</v>
      </c>
      <c r="X905" s="103">
        <f t="shared" si="905"/>
        <v>1.9426758989524947E-2</v>
      </c>
      <c r="Y905" s="122">
        <f t="shared" si="906"/>
        <v>1</v>
      </c>
      <c r="Z905" s="123">
        <f t="shared" si="907"/>
        <v>5.937794533459001E-2</v>
      </c>
      <c r="AA905" s="123">
        <f t="shared" si="908"/>
        <v>5.937794533459001E-2</v>
      </c>
      <c r="AB905" s="124">
        <f t="shared" si="909"/>
        <v>1.4744543951349767E-2</v>
      </c>
    </row>
    <row r="906" spans="2:28" x14ac:dyDescent="0.3">
      <c r="B906" s="5" t="s">
        <v>7</v>
      </c>
      <c r="C906" s="1">
        <v>165</v>
      </c>
      <c r="D906" s="14">
        <v>0.77200000000000002</v>
      </c>
      <c r="E906" s="1">
        <v>154</v>
      </c>
      <c r="F906" s="1">
        <v>2</v>
      </c>
      <c r="G906" s="1">
        <v>42493</v>
      </c>
      <c r="H906" s="118">
        <f t="shared" si="895"/>
        <v>9</v>
      </c>
      <c r="I906" s="117"/>
      <c r="J906" s="117"/>
      <c r="K906" s="114">
        <f t="shared" si="892"/>
        <v>55042.746113989633</v>
      </c>
      <c r="L906" s="21">
        <f t="shared" si="893"/>
        <v>213.73056994818651</v>
      </c>
      <c r="M906" s="31" t="e">
        <f t="shared" si="894"/>
        <v>#DIV/0!</v>
      </c>
      <c r="N906" s="31">
        <f t="shared" si="896"/>
        <v>1.282051282051282E-2</v>
      </c>
      <c r="O906" s="43">
        <f t="shared" si="897"/>
        <v>2.5906735751295336</v>
      </c>
      <c r="P906" s="49">
        <f t="shared" si="898"/>
        <v>1.2121212121212121E-2</v>
      </c>
      <c r="Q906" s="47">
        <f t="shared" si="899"/>
        <v>11.658031088082902</v>
      </c>
      <c r="R906" s="66">
        <f>IFERROR(G906/H906,20000)</f>
        <v>4721.4444444444443</v>
      </c>
      <c r="S906" s="92">
        <f t="shared" si="901"/>
        <v>0.1850481125092524</v>
      </c>
      <c r="T906" s="93">
        <f t="shared" si="902"/>
        <v>0</v>
      </c>
      <c r="V906" s="98" t="str">
        <f t="shared" si="903"/>
        <v>NB</v>
      </c>
      <c r="W906" s="102">
        <f t="shared" si="904"/>
        <v>415.17239205526772</v>
      </c>
      <c r="X906" s="103">
        <f t="shared" si="905"/>
        <v>3.8301397326518365E-3</v>
      </c>
      <c r="Y906" s="122">
        <f t="shared" si="906"/>
        <v>0.94545454545454544</v>
      </c>
      <c r="Z906" s="123">
        <f t="shared" si="907"/>
        <v>1.282051282051282E-2</v>
      </c>
      <c r="AA906" s="123">
        <f t="shared" si="908"/>
        <v>1.2121212121212121E-2</v>
      </c>
      <c r="AB906" s="124">
        <f t="shared" si="909"/>
        <v>2.9937629234130232E-3</v>
      </c>
    </row>
    <row r="907" spans="2:28" x14ac:dyDescent="0.3">
      <c r="B907" s="5" t="s">
        <v>18</v>
      </c>
      <c r="C907" s="9">
        <v>27</v>
      </c>
      <c r="D907" s="15">
        <v>0.154</v>
      </c>
      <c r="E907" s="9">
        <v>27</v>
      </c>
      <c r="F907" s="9">
        <v>0</v>
      </c>
      <c r="G907" s="9">
        <v>10864</v>
      </c>
      <c r="H907" s="118">
        <f t="shared" si="895"/>
        <v>0</v>
      </c>
      <c r="I907" s="117"/>
      <c r="J907" s="117"/>
      <c r="K907" s="115">
        <f t="shared" si="892"/>
        <v>70545.454545454544</v>
      </c>
      <c r="L907" s="22">
        <f t="shared" si="893"/>
        <v>175.32467532467533</v>
      </c>
      <c r="M907" s="31">
        <v>0</v>
      </c>
      <c r="N907" s="31">
        <f t="shared" si="896"/>
        <v>0</v>
      </c>
      <c r="O907" s="44">
        <f t="shared" si="897"/>
        <v>0</v>
      </c>
      <c r="P907" s="49">
        <f t="shared" si="898"/>
        <v>0</v>
      </c>
      <c r="Q907" s="47">
        <f t="shared" si="899"/>
        <v>0</v>
      </c>
      <c r="R907" s="66">
        <f>IFERROR(G907/H907,20000)</f>
        <v>20000</v>
      </c>
      <c r="S907" s="92">
        <f t="shared" si="901"/>
        <v>0</v>
      </c>
      <c r="T907" s="93">
        <f t="shared" si="902"/>
        <v>0</v>
      </c>
      <c r="V907" s="98" t="str">
        <f t="shared" si="903"/>
        <v>PEI</v>
      </c>
      <c r="W907" s="102">
        <f t="shared" si="904"/>
        <v>500.97402597402595</v>
      </c>
      <c r="X907" s="103">
        <f t="shared" si="905"/>
        <v>2.4514445523767742E-3</v>
      </c>
      <c r="Y907" s="122">
        <f t="shared" si="906"/>
        <v>1</v>
      </c>
      <c r="Z907" s="123">
        <f t="shared" si="907"/>
        <v>0</v>
      </c>
      <c r="AA907" s="123">
        <f t="shared" si="908"/>
        <v>0</v>
      </c>
      <c r="AB907" s="124">
        <f t="shared" si="909"/>
        <v>2.6138592119268086E-3</v>
      </c>
    </row>
    <row r="908" spans="2:28" ht="15" thickBot="1" x14ac:dyDescent="0.35">
      <c r="B908" s="5" t="s">
        <v>11</v>
      </c>
      <c r="C908" s="9">
        <v>261</v>
      </c>
      <c r="D908" s="15">
        <v>0.52400000000000002</v>
      </c>
      <c r="E908" s="9">
        <v>258</v>
      </c>
      <c r="F908" s="9">
        <v>3</v>
      </c>
      <c r="G908" s="9">
        <v>17270</v>
      </c>
      <c r="H908" s="119">
        <f t="shared" si="895"/>
        <v>0</v>
      </c>
      <c r="I908" s="117"/>
      <c r="J908" s="117"/>
      <c r="K908" s="115">
        <f t="shared" si="892"/>
        <v>32958.015267175571</v>
      </c>
      <c r="L908" s="22">
        <f t="shared" si="893"/>
        <v>498.09160305343511</v>
      </c>
      <c r="M908" s="31">
        <f>(H908-H895)/H895</f>
        <v>-1</v>
      </c>
      <c r="N908" s="32">
        <f t="shared" si="896"/>
        <v>1.1494252873563218E-2</v>
      </c>
      <c r="O908" s="44">
        <f t="shared" si="897"/>
        <v>5.7251908396946565</v>
      </c>
      <c r="P908" s="50">
        <f t="shared" si="898"/>
        <v>1.1494252873563218E-2</v>
      </c>
      <c r="Q908" s="48">
        <f t="shared" si="899"/>
        <v>0</v>
      </c>
      <c r="R908" s="67" t="e">
        <f>G908/H908</f>
        <v>#DIV/0!</v>
      </c>
      <c r="S908" s="92">
        <f t="shared" si="901"/>
        <v>0</v>
      </c>
      <c r="T908" s="93">
        <f t="shared" si="902"/>
        <v>0</v>
      </c>
      <c r="V908" s="99" t="str">
        <f t="shared" si="903"/>
        <v>NFLD</v>
      </c>
      <c r="W908" s="120">
        <f t="shared" si="904"/>
        <v>200.31517557251911</v>
      </c>
      <c r="X908" s="103">
        <f t="shared" si="905"/>
        <v>1.4907205460212644E-2</v>
      </c>
      <c r="Y908" s="122">
        <f t="shared" si="906"/>
        <v>1</v>
      </c>
      <c r="Z908" s="123">
        <f t="shared" si="907"/>
        <v>1.1494252873563218E-2</v>
      </c>
      <c r="AA908" s="123">
        <f t="shared" si="908"/>
        <v>1.1494252873563218E-2</v>
      </c>
      <c r="AB908" s="124">
        <f t="shared" si="909"/>
        <v>1.2690332766177226E-2</v>
      </c>
    </row>
    <row r="909" spans="2:28" ht="15" thickBot="1" x14ac:dyDescent="0.35">
      <c r="B909" s="11" t="s">
        <v>10</v>
      </c>
      <c r="C909" s="12">
        <v>103032</v>
      </c>
      <c r="D909" s="16">
        <v>37.6</v>
      </c>
      <c r="E909" s="12">
        <v>65973</v>
      </c>
      <c r="F909" s="12">
        <v>8516</v>
      </c>
      <c r="G909" s="12">
        <f>SUM(G899:G908)</f>
        <v>2781616</v>
      </c>
      <c r="H909" s="81">
        <f t="shared" si="895"/>
        <v>28543</v>
      </c>
      <c r="I909" s="117"/>
      <c r="J909" s="117"/>
      <c r="K909" s="77">
        <f t="shared" si="892"/>
        <v>73979.148936170212</v>
      </c>
      <c r="L909" s="23">
        <f t="shared" si="893"/>
        <v>2740.2127659574467</v>
      </c>
      <c r="M909" s="31">
        <f>(H909-H896)/H896</f>
        <v>-0.97687400900473897</v>
      </c>
      <c r="N909" s="33">
        <f t="shared" si="896"/>
        <v>0.11432560512290406</v>
      </c>
      <c r="O909" s="45">
        <f>F909/D909</f>
        <v>226.48936170212764</v>
      </c>
      <c r="P909" s="53">
        <f t="shared" si="898"/>
        <v>8.2653932758754559E-2</v>
      </c>
      <c r="Q909" s="55">
        <f t="shared" si="899"/>
        <v>759.12234042553189</v>
      </c>
      <c r="R909" s="74">
        <f>G909/H909</f>
        <v>97.453526258627335</v>
      </c>
      <c r="S909" s="92">
        <f t="shared" si="901"/>
        <v>7.6481762917933125</v>
      </c>
      <c r="T909" s="93">
        <f t="shared" si="902"/>
        <v>0.40273556231003038</v>
      </c>
      <c r="V909" s="108" t="str">
        <f t="shared" si="903"/>
        <v>Canada</v>
      </c>
      <c r="W909" s="109">
        <f t="shared" si="904"/>
        <v>15.917839927590567</v>
      </c>
      <c r="X909" s="103">
        <f t="shared" si="905"/>
        <v>3.6536170212765957E-2</v>
      </c>
      <c r="Y909" s="122">
        <f t="shared" si="906"/>
        <v>0.72296956285425884</v>
      </c>
      <c r="Z909" s="123">
        <f t="shared" si="907"/>
        <v>0.11432560512290406</v>
      </c>
      <c r="AA909" s="123">
        <f t="shared" si="908"/>
        <v>8.2653932758754559E-2</v>
      </c>
      <c r="AB909" s="124">
        <f t="shared" si="909"/>
        <v>3.1035106382978721E-2</v>
      </c>
    </row>
    <row r="910" spans="2:28" ht="15" thickBot="1" x14ac:dyDescent="0.35">
      <c r="B910" s="6" t="s">
        <v>9</v>
      </c>
      <c r="C910" s="7">
        <v>2582959</v>
      </c>
      <c r="D910" s="7">
        <v>327</v>
      </c>
      <c r="E910" s="7">
        <v>1071450</v>
      </c>
      <c r="F910" s="7">
        <v>127986</v>
      </c>
      <c r="G910" s="7">
        <v>31757216</v>
      </c>
      <c r="H910" s="82">
        <f t="shared" si="895"/>
        <v>1383523</v>
      </c>
      <c r="I910" s="117"/>
      <c r="J910" s="117"/>
      <c r="K910" s="78">
        <f t="shared" si="892"/>
        <v>97116.868501529054</v>
      </c>
      <c r="L910" s="24">
        <f t="shared" si="893"/>
        <v>7898.9571865443422</v>
      </c>
      <c r="M910" s="31" t="e">
        <f>(H910-#REF!)/#REF!</f>
        <v>#REF!</v>
      </c>
      <c r="N910" s="33">
        <f t="shared" si="896"/>
        <v>0.10670515142116795</v>
      </c>
      <c r="O910" s="46">
        <f>F910/D910</f>
        <v>391.39449541284404</v>
      </c>
      <c r="P910" s="52">
        <f t="shared" si="898"/>
        <v>4.9550147718179033E-2</v>
      </c>
      <c r="Q910" s="54">
        <f t="shared" si="899"/>
        <v>4230.9571865443422</v>
      </c>
      <c r="R910" s="72">
        <f>G910/H910</f>
        <v>22.953876444410394</v>
      </c>
      <c r="S910" s="92">
        <f t="shared" si="901"/>
        <v>115.37265181301879</v>
      </c>
      <c r="T910" s="93">
        <f t="shared" si="902"/>
        <v>2.7234600262123196</v>
      </c>
      <c r="V910" s="108" t="str">
        <f t="shared" si="903"/>
        <v>USA</v>
      </c>
      <c r="W910" s="109">
        <f t="shared" si="904"/>
        <v>44.553417808245648</v>
      </c>
      <c r="X910" s="103">
        <f t="shared" si="905"/>
        <v>8.0227481131436393E-2</v>
      </c>
      <c r="Y910" s="122">
        <f t="shared" si="906"/>
        <v>0.46436509445175089</v>
      </c>
      <c r="Z910" s="123">
        <f t="shared" si="907"/>
        <v>0.10670515142116795</v>
      </c>
      <c r="AA910" s="123">
        <f t="shared" si="908"/>
        <v>4.9550147718179033E-2</v>
      </c>
      <c r="AB910" s="124">
        <f t="shared" si="909"/>
        <v>6.2553023081175496E-2</v>
      </c>
    </row>
    <row r="911" spans="2:28" ht="31.8" customHeight="1" thickBot="1" x14ac:dyDescent="0.35"/>
    <row r="912" spans="2:28" ht="58.2" thickBot="1" x14ac:dyDescent="0.35">
      <c r="B912" s="96">
        <v>38169</v>
      </c>
      <c r="C912" s="18" t="s">
        <v>8</v>
      </c>
      <c r="D912" s="19" t="s">
        <v>17</v>
      </c>
      <c r="E912" s="19" t="s">
        <v>15</v>
      </c>
      <c r="F912" s="19" t="s">
        <v>16</v>
      </c>
      <c r="G912" s="19" t="s">
        <v>14</v>
      </c>
      <c r="H912" s="20" t="s">
        <v>38</v>
      </c>
      <c r="I912" s="116"/>
      <c r="J912" s="116"/>
      <c r="K912" s="19" t="s">
        <v>21</v>
      </c>
      <c r="L912" s="19" t="s">
        <v>20</v>
      </c>
      <c r="M912" s="19" t="s">
        <v>40</v>
      </c>
      <c r="N912" s="19" t="s">
        <v>32</v>
      </c>
      <c r="O912" s="19" t="s">
        <v>22</v>
      </c>
      <c r="P912" s="51" t="s">
        <v>34</v>
      </c>
      <c r="Q912" s="20" t="s">
        <v>35</v>
      </c>
      <c r="R912" s="63" t="s">
        <v>39</v>
      </c>
      <c r="S912" s="91" t="s">
        <v>43</v>
      </c>
      <c r="T912" s="91" t="s">
        <v>44</v>
      </c>
      <c r="V912" s="104" t="s">
        <v>48</v>
      </c>
      <c r="W912" s="105" t="s">
        <v>49</v>
      </c>
      <c r="X912" s="106" t="s">
        <v>50</v>
      </c>
      <c r="Y912" s="61" t="s">
        <v>52</v>
      </c>
      <c r="Z912" s="61" t="s">
        <v>55</v>
      </c>
      <c r="AA912" s="61" t="s">
        <v>56</v>
      </c>
      <c r="AB912" s="61" t="s">
        <v>54</v>
      </c>
    </row>
    <row r="913" spans="2:28" x14ac:dyDescent="0.3">
      <c r="B913" s="3" t="s">
        <v>0</v>
      </c>
      <c r="C913" s="1">
        <v>35656</v>
      </c>
      <c r="D913" s="14">
        <v>14.45</v>
      </c>
      <c r="E913" s="1">
        <v>31083</v>
      </c>
      <c r="F913" s="1">
        <v>2687</v>
      </c>
      <c r="G913" s="1">
        <v>1503322</v>
      </c>
      <c r="H913" s="118">
        <f>C913-E913-F913</f>
        <v>1886</v>
      </c>
      <c r="I913" s="117"/>
      <c r="J913" s="117">
        <f>E913/D913</f>
        <v>2151.0726643598618</v>
      </c>
      <c r="K913" s="114">
        <f t="shared" ref="K913:K924" si="910">G913/D913</f>
        <v>104036.12456747405</v>
      </c>
      <c r="L913" s="21">
        <f t="shared" ref="L913:L924" si="911">C913/D913</f>
        <v>2467.543252595156</v>
      </c>
      <c r="M913" s="31">
        <f t="shared" ref="M913:M920" si="912">(H913-H900)/H900</f>
        <v>-0.9270265041594119</v>
      </c>
      <c r="N913" s="31">
        <f>F913/(E913+F913)</f>
        <v>7.9567663606751549E-2</v>
      </c>
      <c r="O913" s="43">
        <f>F913/D913</f>
        <v>185.95155709342561</v>
      </c>
      <c r="P913" s="49">
        <f>F913/C913</f>
        <v>7.5358985864931574E-2</v>
      </c>
      <c r="Q913" s="47">
        <f>(C913-E913-F913)/D913</f>
        <v>130.51903114186851</v>
      </c>
      <c r="R913" s="66">
        <f>G913/H913</f>
        <v>797.09544008483567</v>
      </c>
      <c r="S913" s="92">
        <f>(C913-C899)/D913/7</f>
        <v>11.66584280771132</v>
      </c>
      <c r="T913" s="93">
        <f>(F913-F899)/D913/7</f>
        <v>0.34602076124567477</v>
      </c>
      <c r="V913" s="101" t="str">
        <f>B913</f>
        <v>ON</v>
      </c>
      <c r="W913" s="102">
        <f>L913/180+IFERROR((D913*C913*13)/(F913*F913),500)</f>
        <v>14.636275614276796</v>
      </c>
      <c r="X913" s="103">
        <f>L913/75000*K$923/K913</f>
        <v>2.5829499023161007E-2</v>
      </c>
      <c r="Y913" s="122">
        <f>(E913+F913)/C913</f>
        <v>0.94710567646398924</v>
      </c>
      <c r="Z913" s="123">
        <f>N913</f>
        <v>7.9567663606751549E-2</v>
      </c>
      <c r="AA913" s="123">
        <f>P913</f>
        <v>7.5358985864931574E-2</v>
      </c>
      <c r="AB913" s="124">
        <f>X829</f>
        <v>2.4988038557378061E-2</v>
      </c>
    </row>
    <row r="914" spans="2:28" x14ac:dyDescent="0.3">
      <c r="B914" s="5" t="s">
        <v>1</v>
      </c>
      <c r="C914" s="1">
        <v>55784</v>
      </c>
      <c r="D914" s="14">
        <v>8.43</v>
      </c>
      <c r="E914" s="1">
        <v>25280</v>
      </c>
      <c r="F914" s="1">
        <v>5566</v>
      </c>
      <c r="G914" s="1">
        <f>572565+55784+7615</f>
        <v>635964</v>
      </c>
      <c r="H914" s="118">
        <f t="shared" ref="H914:H924" si="913">C914-E914-F914</f>
        <v>24938</v>
      </c>
      <c r="I914" s="117"/>
      <c r="J914" s="117">
        <f t="shared" ref="J914:J924" si="914">E914/D914</f>
        <v>2998.8137603795967</v>
      </c>
      <c r="K914" s="114">
        <f t="shared" si="910"/>
        <v>75440.569395017796</v>
      </c>
      <c r="L914" s="21">
        <f t="shared" si="911"/>
        <v>6617.3190984578887</v>
      </c>
      <c r="M914" s="31">
        <f t="shared" si="912"/>
        <v>155.8427672955975</v>
      </c>
      <c r="N914" s="31">
        <f t="shared" ref="N914:N924" si="915">F914/(E914+F914)</f>
        <v>0.18044479024833041</v>
      </c>
      <c r="O914" s="43">
        <f t="shared" ref="O914:O922" si="916">F914/D914</f>
        <v>660.26097271648871</v>
      </c>
      <c r="P914" s="49">
        <f t="shared" ref="P914:P924" si="917">F914/C914</f>
        <v>9.9777714039868057E-2</v>
      </c>
      <c r="Q914" s="47">
        <f t="shared" ref="Q914:Q924" si="918">(C914-E914-F914)/D914</f>
        <v>2958.2443653618034</v>
      </c>
      <c r="R914" s="66">
        <f t="shared" ref="R914:R919" si="919">G914/H914</f>
        <v>25.501804475098243</v>
      </c>
      <c r="S914" s="92">
        <f t="shared" ref="S914:S924" si="920">(C914-C900)/D914/7</f>
        <v>11.947127605490595</v>
      </c>
      <c r="T914" s="93">
        <f t="shared" ref="T914:T924" si="921">(F914-F900)/D914/7</f>
        <v>1.9996610743941705</v>
      </c>
      <c r="V914" s="98" t="str">
        <f t="shared" ref="V914:V924" si="922">B914</f>
        <v>QC</v>
      </c>
      <c r="W914" s="102">
        <f t="shared" ref="W914:W924" si="923">L914/180+IFERROR((D914*C914*13)/(F914*F914),500)</f>
        <v>36.960214361611101</v>
      </c>
      <c r="X914" s="103">
        <f t="shared" ref="X914:X924" si="924">L914/75000*K$923/K914</f>
        <v>9.552399887838782E-2</v>
      </c>
      <c r="Y914" s="122">
        <f t="shared" ref="Y914:Y924" si="925">(E914+F914)/C914</f>
        <v>0.55295425211530191</v>
      </c>
      <c r="Z914" s="123">
        <f t="shared" ref="Z914:Z924" si="926">N914</f>
        <v>0.18044479024833041</v>
      </c>
      <c r="AA914" s="123">
        <f t="shared" ref="AA914:AA924" si="927">P914</f>
        <v>9.9777714039868057E-2</v>
      </c>
      <c r="AB914" s="124">
        <f t="shared" ref="AB914:AB924" si="928">X830</f>
        <v>7.2574508136816429E-2</v>
      </c>
    </row>
    <row r="915" spans="2:28" x14ac:dyDescent="0.3">
      <c r="B915" s="5" t="s">
        <v>2</v>
      </c>
      <c r="C915" s="1">
        <v>2947</v>
      </c>
      <c r="D915" s="14">
        <v>5.0199999999999996</v>
      </c>
      <c r="E915" s="1">
        <v>2608</v>
      </c>
      <c r="F915" s="1">
        <v>177</v>
      </c>
      <c r="G915" s="95">
        <v>198765</v>
      </c>
      <c r="H915" s="118">
        <f t="shared" si="913"/>
        <v>162</v>
      </c>
      <c r="I915" s="117"/>
      <c r="J915" s="117">
        <f t="shared" si="914"/>
        <v>519.52191235059763</v>
      </c>
      <c r="K915" s="114">
        <f t="shared" si="910"/>
        <v>39594.621513944228</v>
      </c>
      <c r="L915" s="21">
        <f t="shared" si="911"/>
        <v>587.05179282868528</v>
      </c>
      <c r="M915" s="31">
        <f t="shared" si="912"/>
        <v>-0.68846153846153846</v>
      </c>
      <c r="N915" s="31">
        <f t="shared" si="915"/>
        <v>6.3554757630161579E-2</v>
      </c>
      <c r="O915" s="43">
        <f t="shared" si="916"/>
        <v>35.258964143426297</v>
      </c>
      <c r="P915" s="49">
        <f t="shared" si="917"/>
        <v>6.0061079063454363E-2</v>
      </c>
      <c r="Q915" s="47">
        <f t="shared" si="918"/>
        <v>32.270916334661358</v>
      </c>
      <c r="R915" s="66">
        <f t="shared" si="919"/>
        <v>1226.9444444444443</v>
      </c>
      <c r="S915" s="92">
        <f t="shared" si="920"/>
        <v>1.9635742743312468</v>
      </c>
      <c r="T915" s="93">
        <f t="shared" si="921"/>
        <v>8.5372794536141147E-2</v>
      </c>
      <c r="V915" s="98" t="str">
        <f t="shared" si="922"/>
        <v>BC</v>
      </c>
      <c r="W915" s="102">
        <f t="shared" si="923"/>
        <v>9.4001591031259419</v>
      </c>
      <c r="X915" s="103">
        <f t="shared" si="924"/>
        <v>1.6146395929260343E-2</v>
      </c>
      <c r="Y915" s="122">
        <f t="shared" si="925"/>
        <v>0.94502884289107569</v>
      </c>
      <c r="Z915" s="123">
        <f t="shared" si="926"/>
        <v>6.3554757630161579E-2</v>
      </c>
      <c r="AA915" s="123">
        <f t="shared" si="927"/>
        <v>6.0061079063454363E-2</v>
      </c>
      <c r="AB915" s="124">
        <f t="shared" si="928"/>
        <v>1.176665484768002E-2</v>
      </c>
    </row>
    <row r="916" spans="2:28" x14ac:dyDescent="0.3">
      <c r="B916" s="5" t="s">
        <v>3</v>
      </c>
      <c r="C916" s="1">
        <v>8259</v>
      </c>
      <c r="D916" s="14">
        <v>4.34</v>
      </c>
      <c r="E916" s="1">
        <v>7532</v>
      </c>
      <c r="F916" s="1">
        <v>155</v>
      </c>
      <c r="G916" s="1">
        <v>470809</v>
      </c>
      <c r="H916" s="118">
        <f t="shared" si="913"/>
        <v>572</v>
      </c>
      <c r="I916" s="117"/>
      <c r="J916" s="117">
        <f t="shared" si="914"/>
        <v>1735.483870967742</v>
      </c>
      <c r="K916" s="114">
        <f t="shared" si="910"/>
        <v>108481.33640552996</v>
      </c>
      <c r="L916" s="21">
        <f t="shared" si="911"/>
        <v>1902.9953917050691</v>
      </c>
      <c r="M916" s="31">
        <f t="shared" si="912"/>
        <v>51</v>
      </c>
      <c r="N916" s="31">
        <f t="shared" si="915"/>
        <v>2.0163913100039028E-2</v>
      </c>
      <c r="O916" s="43">
        <f t="shared" si="916"/>
        <v>35.714285714285715</v>
      </c>
      <c r="P916" s="49">
        <f t="shared" si="917"/>
        <v>1.876740525487347E-2</v>
      </c>
      <c r="Q916" s="47">
        <f t="shared" si="918"/>
        <v>131.79723502304148</v>
      </c>
      <c r="R916" s="66">
        <f t="shared" si="919"/>
        <v>823.09265734265739</v>
      </c>
      <c r="S916" s="92">
        <f t="shared" si="920"/>
        <v>9.9407504937458846</v>
      </c>
      <c r="T916" s="93">
        <f t="shared" si="921"/>
        <v>3.2916392363396975E-2</v>
      </c>
      <c r="V916" s="98" t="str">
        <f t="shared" si="922"/>
        <v>AL</v>
      </c>
      <c r="W916" s="102">
        <f t="shared" si="923"/>
        <v>29.967525652841783</v>
      </c>
      <c r="X916" s="103">
        <f t="shared" si="924"/>
        <v>1.9103726186925962E-2</v>
      </c>
      <c r="Y916" s="122">
        <f t="shared" si="925"/>
        <v>0.93074222060782175</v>
      </c>
      <c r="Z916" s="123">
        <f t="shared" si="926"/>
        <v>2.0163913100039028E-2</v>
      </c>
      <c r="AA916" s="123">
        <f t="shared" si="927"/>
        <v>1.876740525487347E-2</v>
      </c>
      <c r="AB916" s="124">
        <f t="shared" si="928"/>
        <v>1.7198459698353236E-2</v>
      </c>
    </row>
    <row r="917" spans="2:28" x14ac:dyDescent="0.3">
      <c r="B917" s="5" t="s">
        <v>4</v>
      </c>
      <c r="C917" s="1">
        <v>325</v>
      </c>
      <c r="D917" s="14">
        <v>1.36</v>
      </c>
      <c r="E917" s="1">
        <v>302</v>
      </c>
      <c r="F917" s="1">
        <v>7</v>
      </c>
      <c r="G917" s="1">
        <v>64968</v>
      </c>
      <c r="H917" s="118">
        <f t="shared" si="913"/>
        <v>16</v>
      </c>
      <c r="I917" s="117"/>
      <c r="J917" s="117">
        <f t="shared" si="914"/>
        <v>222.05882352941174</v>
      </c>
      <c r="K917" s="114">
        <f t="shared" si="910"/>
        <v>47770.588235294112</v>
      </c>
      <c r="L917" s="21">
        <f t="shared" si="911"/>
        <v>238.97058823529409</v>
      </c>
      <c r="M917" s="31">
        <f t="shared" si="912"/>
        <v>-0.84466019417475724</v>
      </c>
      <c r="N917" s="31">
        <f t="shared" si="915"/>
        <v>2.2653721682847898E-2</v>
      </c>
      <c r="O917" s="43">
        <f t="shared" si="916"/>
        <v>5.1470588235294112</v>
      </c>
      <c r="P917" s="49">
        <f t="shared" si="917"/>
        <v>2.1538461538461538E-2</v>
      </c>
      <c r="Q917" s="47">
        <f t="shared" si="918"/>
        <v>11.76470588235294</v>
      </c>
      <c r="R917" s="66">
        <f t="shared" si="919"/>
        <v>4060.5</v>
      </c>
      <c r="S917" s="92">
        <f t="shared" si="920"/>
        <v>0.73529411764705876</v>
      </c>
      <c r="T917" s="93">
        <f t="shared" si="921"/>
        <v>0</v>
      </c>
      <c r="V917" s="98" t="str">
        <f t="shared" si="922"/>
        <v>MA</v>
      </c>
      <c r="W917" s="102">
        <f t="shared" si="923"/>
        <v>118.59292050153397</v>
      </c>
      <c r="X917" s="103">
        <f t="shared" si="924"/>
        <v>5.4477759536391505E-3</v>
      </c>
      <c r="Y917" s="122">
        <f t="shared" si="925"/>
        <v>0.95076923076923081</v>
      </c>
      <c r="Z917" s="123">
        <f t="shared" si="926"/>
        <v>2.2653721682847898E-2</v>
      </c>
      <c r="AA917" s="123">
        <f t="shared" si="927"/>
        <v>2.1538461538461538E-2</v>
      </c>
      <c r="AB917" s="124">
        <f t="shared" si="928"/>
        <v>4.2641412905793782E-3</v>
      </c>
    </row>
    <row r="918" spans="2:28" x14ac:dyDescent="0.3">
      <c r="B918" s="5" t="s">
        <v>5</v>
      </c>
      <c r="C918" s="1">
        <v>796</v>
      </c>
      <c r="D918" s="14">
        <v>1.17</v>
      </c>
      <c r="E918" s="1">
        <v>711</v>
      </c>
      <c r="F918" s="1">
        <v>14</v>
      </c>
      <c r="G918" s="1">
        <v>67791</v>
      </c>
      <c r="H918" s="118">
        <f t="shared" si="913"/>
        <v>71</v>
      </c>
      <c r="I918" s="117"/>
      <c r="J918" s="117">
        <f t="shared" si="914"/>
        <v>607.69230769230774</v>
      </c>
      <c r="K918" s="114">
        <f t="shared" si="910"/>
        <v>57941.025641025648</v>
      </c>
      <c r="L918" s="21">
        <f t="shared" si="911"/>
        <v>680.34188034188037</v>
      </c>
      <c r="M918" s="31" t="e">
        <f t="shared" si="912"/>
        <v>#DIV/0!</v>
      </c>
      <c r="N918" s="31">
        <f t="shared" si="915"/>
        <v>1.9310344827586208E-2</v>
      </c>
      <c r="O918" s="43">
        <f t="shared" si="916"/>
        <v>11.965811965811966</v>
      </c>
      <c r="P918" s="49">
        <f t="shared" si="917"/>
        <v>1.7587939698492462E-2</v>
      </c>
      <c r="Q918" s="47">
        <f t="shared" si="918"/>
        <v>60.683760683760688</v>
      </c>
      <c r="R918" s="66">
        <f t="shared" si="919"/>
        <v>954.80281690140851</v>
      </c>
      <c r="S918" s="92">
        <f t="shared" si="920"/>
        <v>2.3199023199023201</v>
      </c>
      <c r="T918" s="93">
        <f t="shared" si="921"/>
        <v>0.12210012210012211</v>
      </c>
      <c r="V918" s="98" t="str">
        <f t="shared" si="922"/>
        <v>SA</v>
      </c>
      <c r="W918" s="102">
        <f t="shared" si="923"/>
        <v>65.550901602806363</v>
      </c>
      <c r="X918" s="103">
        <f t="shared" si="924"/>
        <v>1.2787227807285449E-2</v>
      </c>
      <c r="Y918" s="122">
        <f t="shared" si="925"/>
        <v>0.91080402010050254</v>
      </c>
      <c r="Z918" s="123">
        <f t="shared" si="926"/>
        <v>1.9310344827586208E-2</v>
      </c>
      <c r="AA918" s="123">
        <f t="shared" si="927"/>
        <v>1.7587939698492462E-2</v>
      </c>
      <c r="AB918" s="124">
        <f t="shared" si="928"/>
        <v>8.8135742013265173E-3</v>
      </c>
    </row>
    <row r="919" spans="2:28" x14ac:dyDescent="0.3">
      <c r="B919" s="5" t="s">
        <v>6</v>
      </c>
      <c r="C919" s="1">
        <v>1064</v>
      </c>
      <c r="D919" s="14">
        <v>0.96499999999999997</v>
      </c>
      <c r="E919" s="1">
        <v>998</v>
      </c>
      <c r="F919" s="1">
        <v>63</v>
      </c>
      <c r="G919" s="1">
        <f>54685+C919</f>
        <v>55749</v>
      </c>
      <c r="H919" s="118">
        <f t="shared" si="913"/>
        <v>3</v>
      </c>
      <c r="I919" s="117"/>
      <c r="J919" s="117">
        <f t="shared" si="914"/>
        <v>1034.1968911917099</v>
      </c>
      <c r="K919" s="114">
        <f t="shared" si="910"/>
        <v>57770.984455958554</v>
      </c>
      <c r="L919" s="21">
        <f t="shared" si="911"/>
        <v>1102.5906735751296</v>
      </c>
      <c r="M919" s="31">
        <f t="shared" si="912"/>
        <v>-0.66666666666666663</v>
      </c>
      <c r="N919" s="31">
        <f t="shared" si="915"/>
        <v>5.937794533459001E-2</v>
      </c>
      <c r="O919" s="43">
        <f t="shared" si="916"/>
        <v>65.284974093264253</v>
      </c>
      <c r="P919" s="49">
        <f t="shared" si="917"/>
        <v>5.921052631578947E-2</v>
      </c>
      <c r="Q919" s="47">
        <f t="shared" si="918"/>
        <v>3.1088082901554404</v>
      </c>
      <c r="R919" s="66">
        <f t="shared" si="919"/>
        <v>18583</v>
      </c>
      <c r="S919" s="92">
        <f t="shared" si="920"/>
        <v>0.44411547002220575</v>
      </c>
      <c r="T919" s="93">
        <f t="shared" si="921"/>
        <v>0</v>
      </c>
      <c r="V919" s="98" t="str">
        <f t="shared" si="922"/>
        <v>NS</v>
      </c>
      <c r="W919" s="102">
        <f t="shared" si="923"/>
        <v>9.4885372517842299</v>
      </c>
      <c r="X919" s="103">
        <f t="shared" si="924"/>
        <v>2.078451626330733E-2</v>
      </c>
      <c r="Y919" s="122">
        <f t="shared" si="925"/>
        <v>0.9971804511278195</v>
      </c>
      <c r="Z919" s="123">
        <f t="shared" si="926"/>
        <v>5.937794533459001E-2</v>
      </c>
      <c r="AA919" s="123">
        <f t="shared" si="927"/>
        <v>5.921052631578947E-2</v>
      </c>
      <c r="AB919" s="124">
        <f t="shared" si="928"/>
        <v>1.5722222574448056E-2</v>
      </c>
    </row>
    <row r="920" spans="2:28" x14ac:dyDescent="0.3">
      <c r="B920" s="5" t="s">
        <v>7</v>
      </c>
      <c r="C920" s="1">
        <v>165</v>
      </c>
      <c r="D920" s="14">
        <v>0.77200000000000002</v>
      </c>
      <c r="E920" s="1">
        <v>162</v>
      </c>
      <c r="F920" s="1">
        <v>2</v>
      </c>
      <c r="G920" s="1">
        <v>44143</v>
      </c>
      <c r="H920" s="118">
        <f t="shared" si="913"/>
        <v>1</v>
      </c>
      <c r="I920" s="117"/>
      <c r="J920" s="117">
        <f t="shared" si="914"/>
        <v>209.84455958549222</v>
      </c>
      <c r="K920" s="114">
        <f t="shared" si="910"/>
        <v>57180.051813471502</v>
      </c>
      <c r="L920" s="21">
        <f t="shared" si="911"/>
        <v>213.73056994818651</v>
      </c>
      <c r="M920" s="31" t="e">
        <f t="shared" si="912"/>
        <v>#DIV/0!</v>
      </c>
      <c r="N920" s="31">
        <f t="shared" si="915"/>
        <v>1.2195121951219513E-2</v>
      </c>
      <c r="O920" s="43">
        <f t="shared" si="916"/>
        <v>2.5906735751295336</v>
      </c>
      <c r="P920" s="49">
        <f t="shared" si="917"/>
        <v>1.2121212121212121E-2</v>
      </c>
      <c r="Q920" s="47">
        <f t="shared" si="918"/>
        <v>1.2953367875647668</v>
      </c>
      <c r="R920" s="66">
        <f>IFERROR(G920/H920,20000)</f>
        <v>44143</v>
      </c>
      <c r="S920" s="92">
        <f t="shared" si="920"/>
        <v>0</v>
      </c>
      <c r="T920" s="93">
        <f t="shared" si="921"/>
        <v>0</v>
      </c>
      <c r="V920" s="98" t="str">
        <f t="shared" si="922"/>
        <v>NB</v>
      </c>
      <c r="W920" s="102">
        <f t="shared" si="923"/>
        <v>415.17239205526772</v>
      </c>
      <c r="X920" s="103">
        <f t="shared" si="924"/>
        <v>4.0705910577856011E-3</v>
      </c>
      <c r="Y920" s="122">
        <f t="shared" si="925"/>
        <v>0.9939393939393939</v>
      </c>
      <c r="Z920" s="123">
        <f t="shared" si="926"/>
        <v>1.2195121951219513E-2</v>
      </c>
      <c r="AA920" s="123">
        <f t="shared" si="927"/>
        <v>1.2121212121212121E-2</v>
      </c>
      <c r="AB920" s="124">
        <f t="shared" si="928"/>
        <v>2.8137877487369239E-3</v>
      </c>
    </row>
    <row r="921" spans="2:28" x14ac:dyDescent="0.3">
      <c r="B921" s="5" t="s">
        <v>18</v>
      </c>
      <c r="C921" s="9">
        <v>30</v>
      </c>
      <c r="D921" s="15">
        <v>0.154</v>
      </c>
      <c r="E921" s="9">
        <v>27</v>
      </c>
      <c r="F921" s="9">
        <v>0</v>
      </c>
      <c r="G921" s="9">
        <v>12252</v>
      </c>
      <c r="H921" s="118">
        <f t="shared" si="913"/>
        <v>3</v>
      </c>
      <c r="I921" s="117"/>
      <c r="J921" s="117">
        <f t="shared" si="914"/>
        <v>175.32467532467533</v>
      </c>
      <c r="K921" s="115">
        <f t="shared" si="910"/>
        <v>79558.441558441555</v>
      </c>
      <c r="L921" s="22">
        <f t="shared" si="911"/>
        <v>194.80519480519482</v>
      </c>
      <c r="M921" s="31">
        <v>0</v>
      </c>
      <c r="N921" s="31">
        <f t="shared" si="915"/>
        <v>0</v>
      </c>
      <c r="O921" s="44">
        <f t="shared" si="916"/>
        <v>0</v>
      </c>
      <c r="P921" s="49">
        <f t="shared" si="917"/>
        <v>0</v>
      </c>
      <c r="Q921" s="47">
        <f t="shared" si="918"/>
        <v>19.480519480519479</v>
      </c>
      <c r="R921" s="66">
        <f>IFERROR(G921/H921,20000)</f>
        <v>4084</v>
      </c>
      <c r="S921" s="92">
        <f t="shared" si="920"/>
        <v>2.7829313543599254</v>
      </c>
      <c r="T921" s="93">
        <f t="shared" si="921"/>
        <v>0</v>
      </c>
      <c r="V921" s="98" t="str">
        <f t="shared" si="922"/>
        <v>PEI</v>
      </c>
      <c r="W921" s="102">
        <f t="shared" si="923"/>
        <v>501.0822510822511</v>
      </c>
      <c r="X921" s="103">
        <f t="shared" si="924"/>
        <v>2.6665494474197877E-3</v>
      </c>
      <c r="Y921" s="122">
        <f t="shared" si="925"/>
        <v>0.9</v>
      </c>
      <c r="Z921" s="123">
        <f t="shared" si="926"/>
        <v>0</v>
      </c>
      <c r="AA921" s="123">
        <f t="shared" si="927"/>
        <v>0</v>
      </c>
      <c r="AB921" s="124">
        <f t="shared" si="928"/>
        <v>2.5383870736000189E-3</v>
      </c>
    </row>
    <row r="922" spans="2:28" ht="15" thickBot="1" x14ac:dyDescent="0.35">
      <c r="B922" s="5" t="s">
        <v>11</v>
      </c>
      <c r="C922" s="9">
        <v>261</v>
      </c>
      <c r="D922" s="15">
        <v>0.52400000000000002</v>
      </c>
      <c r="E922" s="9">
        <v>258</v>
      </c>
      <c r="F922" s="9">
        <v>3</v>
      </c>
      <c r="G922" s="9">
        <v>17270</v>
      </c>
      <c r="H922" s="119">
        <f t="shared" si="913"/>
        <v>0</v>
      </c>
      <c r="I922" s="117"/>
      <c r="J922" s="117">
        <f t="shared" si="914"/>
        <v>492.36641221374043</v>
      </c>
      <c r="K922" s="115">
        <f t="shared" si="910"/>
        <v>32958.015267175571</v>
      </c>
      <c r="L922" s="22">
        <f t="shared" si="911"/>
        <v>498.09160305343511</v>
      </c>
      <c r="M922" s="31">
        <f>(H922-H909)/H909</f>
        <v>-1</v>
      </c>
      <c r="N922" s="32">
        <f t="shared" si="915"/>
        <v>1.1494252873563218E-2</v>
      </c>
      <c r="O922" s="44">
        <f t="shared" si="916"/>
        <v>5.7251908396946565</v>
      </c>
      <c r="P922" s="50">
        <f t="shared" si="917"/>
        <v>1.1494252873563218E-2</v>
      </c>
      <c r="Q922" s="48">
        <f t="shared" si="918"/>
        <v>0</v>
      </c>
      <c r="R922" s="67" t="e">
        <f>G922/H922</f>
        <v>#DIV/0!</v>
      </c>
      <c r="S922" s="92">
        <f t="shared" si="920"/>
        <v>0</v>
      </c>
      <c r="T922" s="93">
        <f t="shared" si="921"/>
        <v>0</v>
      </c>
      <c r="V922" s="99" t="str">
        <f t="shared" si="922"/>
        <v>NFLD</v>
      </c>
      <c r="W922" s="120">
        <f t="shared" si="923"/>
        <v>200.31517557251911</v>
      </c>
      <c r="X922" s="103">
        <f t="shared" si="924"/>
        <v>1.6458245820448695E-2</v>
      </c>
      <c r="Y922" s="122">
        <f t="shared" si="925"/>
        <v>1</v>
      </c>
      <c r="Z922" s="123">
        <f t="shared" si="926"/>
        <v>1.1494252873563218E-2</v>
      </c>
      <c r="AA922" s="123">
        <f t="shared" si="927"/>
        <v>1.1494252873563218E-2</v>
      </c>
      <c r="AB922" s="124">
        <f t="shared" si="928"/>
        <v>1.3605918409010563E-2</v>
      </c>
    </row>
    <row r="923" spans="2:28" ht="15" thickBot="1" x14ac:dyDescent="0.35">
      <c r="B923" s="11" t="s">
        <v>10</v>
      </c>
      <c r="C923" s="12">
        <v>105316</v>
      </c>
      <c r="D923" s="16">
        <v>37.6</v>
      </c>
      <c r="E923" s="12">
        <v>68990</v>
      </c>
      <c r="F923" s="12">
        <v>8674</v>
      </c>
      <c r="G923" s="12">
        <f>SUM(G913:G922)</f>
        <v>3071033</v>
      </c>
      <c r="H923" s="81">
        <f t="shared" si="913"/>
        <v>27652</v>
      </c>
      <c r="I923" s="117"/>
      <c r="J923" s="117">
        <f t="shared" si="914"/>
        <v>1834.8404255319149</v>
      </c>
      <c r="K923" s="77">
        <f t="shared" si="910"/>
        <v>81676.409574468082</v>
      </c>
      <c r="L923" s="23">
        <f t="shared" si="911"/>
        <v>2800.9574468085107</v>
      </c>
      <c r="M923" s="31">
        <f>(H923-H910)/H910</f>
        <v>-0.98001334274890983</v>
      </c>
      <c r="N923" s="33">
        <f t="shared" si="915"/>
        <v>0.11168623815409971</v>
      </c>
      <c r="O923" s="45">
        <f>F923/D923</f>
        <v>230.69148936170211</v>
      </c>
      <c r="P923" s="53">
        <f t="shared" si="917"/>
        <v>8.2361654449466373E-2</v>
      </c>
      <c r="Q923" s="55">
        <f t="shared" si="918"/>
        <v>735.42553191489355</v>
      </c>
      <c r="R923" s="74">
        <f>G923/H923</f>
        <v>111.06006798784898</v>
      </c>
      <c r="S923" s="92">
        <f t="shared" si="920"/>
        <v>8.6778115501519757</v>
      </c>
      <c r="T923" s="93">
        <f t="shared" si="921"/>
        <v>0.60030395136778114</v>
      </c>
      <c r="V923" s="108" t="str">
        <f t="shared" si="922"/>
        <v>Canada</v>
      </c>
      <c r="W923" s="109">
        <f t="shared" si="923"/>
        <v>16.245080451045514</v>
      </c>
      <c r="X923" s="103">
        <f t="shared" si="924"/>
        <v>3.7346099290780144E-2</v>
      </c>
      <c r="Y923" s="122">
        <f t="shared" si="925"/>
        <v>0.73743780622127697</v>
      </c>
      <c r="Z923" s="123">
        <f t="shared" si="926"/>
        <v>0.11168623815409971</v>
      </c>
      <c r="AA923" s="123">
        <f t="shared" si="927"/>
        <v>8.2361654449466373E-2</v>
      </c>
      <c r="AB923" s="124">
        <f t="shared" si="928"/>
        <v>3.3236170212765953E-2</v>
      </c>
    </row>
    <row r="924" spans="2:28" ht="15" thickBot="1" x14ac:dyDescent="0.35">
      <c r="B924" s="6" t="s">
        <v>9</v>
      </c>
      <c r="C924" s="7">
        <v>2924033</v>
      </c>
      <c r="D924" s="7">
        <v>327</v>
      </c>
      <c r="E924" s="7">
        <v>1251094</v>
      </c>
      <c r="F924" s="7">
        <v>132223</v>
      </c>
      <c r="G924" s="7">
        <v>36749512</v>
      </c>
      <c r="H924" s="82">
        <f t="shared" si="913"/>
        <v>1540716</v>
      </c>
      <c r="I924" s="117"/>
      <c r="J924" s="117">
        <f t="shared" si="914"/>
        <v>3825.9755351681956</v>
      </c>
      <c r="K924" s="78">
        <f t="shared" si="910"/>
        <v>112383.82874617737</v>
      </c>
      <c r="L924" s="24">
        <f t="shared" si="911"/>
        <v>8941.9969418960245</v>
      </c>
      <c r="M924" s="31" t="e">
        <f>(H924-#REF!)/#REF!</f>
        <v>#REF!</v>
      </c>
      <c r="N924" s="33">
        <f t="shared" si="915"/>
        <v>9.5584020148671636E-2</v>
      </c>
      <c r="O924" s="46">
        <f>F924/D924</f>
        <v>404.35168195718654</v>
      </c>
      <c r="P924" s="52">
        <f t="shared" si="917"/>
        <v>4.5219393898769271E-2</v>
      </c>
      <c r="Q924" s="54">
        <f t="shared" si="918"/>
        <v>4711.6697247706425</v>
      </c>
      <c r="R924" s="72">
        <f>G924/H924</f>
        <v>23.85222974253529</v>
      </c>
      <c r="S924" s="92">
        <f t="shared" si="920"/>
        <v>149.00567933595457</v>
      </c>
      <c r="T924" s="93">
        <f t="shared" si="921"/>
        <v>1.8510266491917868</v>
      </c>
      <c r="V924" s="108" t="str">
        <f t="shared" si="922"/>
        <v>USA</v>
      </c>
      <c r="W924" s="109">
        <f t="shared" si="923"/>
        <v>50.388744025305407</v>
      </c>
      <c r="X924" s="103">
        <f t="shared" si="924"/>
        <v>8.6649501420049915E-2</v>
      </c>
      <c r="Y924" s="122">
        <f t="shared" si="925"/>
        <v>0.4730852900770956</v>
      </c>
      <c r="Z924" s="123">
        <f t="shared" si="926"/>
        <v>9.5584020148671636E-2</v>
      </c>
      <c r="AA924" s="123">
        <f t="shared" si="927"/>
        <v>4.5219393898769271E-2</v>
      </c>
      <c r="AB924" s="124">
        <f t="shared" si="928"/>
        <v>6.5935862373464757E-2</v>
      </c>
    </row>
    <row r="925" spans="2:28" ht="31.8" customHeight="1" thickBot="1" x14ac:dyDescent="0.35"/>
    <row r="926" spans="2:28" ht="58.2" thickBot="1" x14ac:dyDescent="0.35">
      <c r="B926" s="96">
        <v>40725</v>
      </c>
      <c r="C926" s="18" t="s">
        <v>8</v>
      </c>
      <c r="D926" s="19" t="s">
        <v>17</v>
      </c>
      <c r="E926" s="19" t="s">
        <v>15</v>
      </c>
      <c r="F926" s="19" t="s">
        <v>16</v>
      </c>
      <c r="G926" s="19" t="s">
        <v>14</v>
      </c>
      <c r="H926" s="20" t="s">
        <v>38</v>
      </c>
      <c r="I926" s="116"/>
      <c r="J926" s="116"/>
      <c r="K926" s="19" t="s">
        <v>21</v>
      </c>
      <c r="L926" s="19" t="s">
        <v>20</v>
      </c>
      <c r="M926" s="19" t="s">
        <v>40</v>
      </c>
      <c r="N926" s="19" t="s">
        <v>32</v>
      </c>
      <c r="O926" s="19" t="s">
        <v>22</v>
      </c>
      <c r="P926" s="51" t="s">
        <v>34</v>
      </c>
      <c r="Q926" s="20" t="s">
        <v>35</v>
      </c>
      <c r="R926" s="63" t="s">
        <v>39</v>
      </c>
      <c r="S926" s="91" t="s">
        <v>43</v>
      </c>
      <c r="T926" s="91" t="s">
        <v>44</v>
      </c>
      <c r="V926" s="104" t="s">
        <v>48</v>
      </c>
      <c r="W926" s="105" t="s">
        <v>49</v>
      </c>
      <c r="X926" s="106" t="s">
        <v>50</v>
      </c>
      <c r="Y926" s="61" t="s">
        <v>52</v>
      </c>
      <c r="Z926" s="61" t="s">
        <v>55</v>
      </c>
      <c r="AA926" s="61" t="s">
        <v>56</v>
      </c>
      <c r="AB926" s="61" t="s">
        <v>54</v>
      </c>
    </row>
    <row r="927" spans="2:28" x14ac:dyDescent="0.3">
      <c r="B927" s="3" t="s">
        <v>0</v>
      </c>
      <c r="C927" s="1">
        <v>36594</v>
      </c>
      <c r="D927" s="14">
        <v>14.45</v>
      </c>
      <c r="E927" s="1">
        <v>32422</v>
      </c>
      <c r="F927" s="1">
        <v>2716</v>
      </c>
      <c r="G927" s="1">
        <v>1665693</v>
      </c>
      <c r="H927" s="118">
        <f>C927-E927-F927</f>
        <v>1456</v>
      </c>
      <c r="I927" s="117"/>
      <c r="J927" s="117">
        <f>E927/D927</f>
        <v>2243.7370242214533</v>
      </c>
      <c r="K927" s="114">
        <f t="shared" ref="K927:K938" si="929">G927/D927</f>
        <v>115272.87197231835</v>
      </c>
      <c r="L927" s="21">
        <f t="shared" ref="L927:L938" si="930">C927/D927</f>
        <v>2532.4567474048445</v>
      </c>
      <c r="M927" s="31">
        <f t="shared" ref="M927:M934" si="931">(H927-H914)/H914</f>
        <v>-0.94161520571016122</v>
      </c>
      <c r="N927" s="31">
        <f>F927/(E927+F927)</f>
        <v>7.7295235926916728E-2</v>
      </c>
      <c r="O927" s="43">
        <f>F927/D927</f>
        <v>187.95847750865053</v>
      </c>
      <c r="P927" s="49">
        <f>F927/C927</f>
        <v>7.4219817456413623E-2</v>
      </c>
      <c r="Q927" s="47">
        <f>(C927-E927-F927)/D927</f>
        <v>100.76124567474049</v>
      </c>
      <c r="R927" s="66">
        <f>G927/H927</f>
        <v>1144.0199175824175</v>
      </c>
      <c r="S927" s="92">
        <f>(C927-C913)/D927/7</f>
        <v>9.273356401384083</v>
      </c>
      <c r="T927" s="93">
        <f>(F927-F913)/D927/7</f>
        <v>0.28670291646070195</v>
      </c>
      <c r="V927" s="101" t="str">
        <f>B927</f>
        <v>ON</v>
      </c>
      <c r="W927" s="102">
        <f>L927/180+IFERROR((D927*C927*13)/(F927*F927),500)</f>
        <v>15.001087501560802</v>
      </c>
      <c r="X927" s="103">
        <f>L927/75000*K$937/K927</f>
        <v>2.619511576400806E-2</v>
      </c>
      <c r="Y927" s="122">
        <f>(E927+F927)/C927</f>
        <v>0.96021205662130404</v>
      </c>
      <c r="Z927" s="123">
        <f>N927</f>
        <v>7.7295235926916728E-2</v>
      </c>
      <c r="AA927" s="123">
        <f>P927</f>
        <v>7.4219817456413623E-2</v>
      </c>
      <c r="AB927" s="124">
        <f>X871</f>
        <v>2.553126227631327E-2</v>
      </c>
    </row>
    <row r="928" spans="2:28" x14ac:dyDescent="0.3">
      <c r="B928" s="5" t="s">
        <v>1</v>
      </c>
      <c r="C928" s="1">
        <v>56407</v>
      </c>
      <c r="D928" s="14">
        <v>8.43</v>
      </c>
      <c r="E928" s="1">
        <v>25773</v>
      </c>
      <c r="F928" s="1">
        <v>5620</v>
      </c>
      <c r="G928" s="1">
        <f>621527+56407+12033</f>
        <v>689967</v>
      </c>
      <c r="H928" s="118">
        <f t="shared" ref="H928:H938" si="932">C928-E928-F928</f>
        <v>25014</v>
      </c>
      <c r="I928" s="117"/>
      <c r="J928" s="117">
        <f t="shared" ref="J928:J938" si="933">E928/D928</f>
        <v>3057.2953736654804</v>
      </c>
      <c r="K928" s="114">
        <f t="shared" si="929"/>
        <v>81846.619217081854</v>
      </c>
      <c r="L928" s="21">
        <f t="shared" si="930"/>
        <v>6691.2218268090155</v>
      </c>
      <c r="M928" s="31">
        <f t="shared" si="931"/>
        <v>153.40740740740742</v>
      </c>
      <c r="N928" s="31">
        <f t="shared" ref="N928:N938" si="934">F928/(E928+F928)</f>
        <v>0.17902080081546842</v>
      </c>
      <c r="O928" s="43">
        <f t="shared" ref="O928:O936" si="935">F928/D928</f>
        <v>666.66666666666674</v>
      </c>
      <c r="P928" s="49">
        <f t="shared" ref="P928:P938" si="936">F928/C928</f>
        <v>9.963302427003741E-2</v>
      </c>
      <c r="Q928" s="47">
        <f t="shared" ref="Q928:Q938" si="937">(C928-E928-F928)/D928</f>
        <v>2967.2597864768686</v>
      </c>
      <c r="R928" s="66">
        <f t="shared" ref="R928:R933" si="938">G928/H928</f>
        <v>27.583233389301991</v>
      </c>
      <c r="S928" s="92">
        <f t="shared" ref="S928:S938" si="939">(C928-C914)/D928/7</f>
        <v>10.55753262158956</v>
      </c>
      <c r="T928" s="93">
        <f t="shared" ref="T928:T938" si="940">(F928-F914)/D928/7</f>
        <v>0.91509913573970514</v>
      </c>
      <c r="V928" s="98" t="str">
        <f t="shared" ref="V928:V938" si="941">B928</f>
        <v>QC</v>
      </c>
      <c r="W928" s="102">
        <f t="shared" ref="W928:W938" si="942">L928/180+IFERROR((D928*C928*13)/(F928*F928),500)</f>
        <v>37.369172831817579</v>
      </c>
      <c r="X928" s="103">
        <f t="shared" ref="X928:X938" si="943">L928/75000*K$937/K928</f>
        <v>9.7478779248245884E-2</v>
      </c>
      <c r="Y928" s="122">
        <f t="shared" ref="Y928:Y938" si="944">(E928+F928)/C928</f>
        <v>0.55654440051766629</v>
      </c>
      <c r="Z928" s="123">
        <f t="shared" ref="Z928:Z938" si="945">N928</f>
        <v>0.17902080081546842</v>
      </c>
      <c r="AA928" s="123">
        <f t="shared" ref="AA928:AA938" si="946">P928</f>
        <v>9.963302427003741E-2</v>
      </c>
      <c r="AB928" s="124">
        <f t="shared" ref="AB928:AB938" si="947">X872</f>
        <v>8.1798888992751201E-2</v>
      </c>
    </row>
    <row r="929" spans="2:28" x14ac:dyDescent="0.3">
      <c r="B929" s="5" t="s">
        <v>2</v>
      </c>
      <c r="C929" s="1">
        <v>3053</v>
      </c>
      <c r="D929" s="14">
        <v>5.0199999999999996</v>
      </c>
      <c r="E929" s="1">
        <v>2679</v>
      </c>
      <c r="F929" s="1">
        <v>187</v>
      </c>
      <c r="G929" s="95">
        <v>212459</v>
      </c>
      <c r="H929" s="118">
        <f t="shared" si="932"/>
        <v>187</v>
      </c>
      <c r="I929" s="117"/>
      <c r="J929" s="117">
        <f t="shared" si="933"/>
        <v>533.66533864541839</v>
      </c>
      <c r="K929" s="114">
        <f t="shared" si="929"/>
        <v>42322.509960159368</v>
      </c>
      <c r="L929" s="21">
        <f t="shared" si="930"/>
        <v>608.16733067729092</v>
      </c>
      <c r="M929" s="31">
        <f t="shared" si="931"/>
        <v>-0.67307692307692313</v>
      </c>
      <c r="N929" s="31">
        <f t="shared" si="934"/>
        <v>6.5247732030704816E-2</v>
      </c>
      <c r="O929" s="43">
        <f t="shared" si="935"/>
        <v>37.250996015936259</v>
      </c>
      <c r="P929" s="49">
        <f t="shared" si="936"/>
        <v>6.1251228300032753E-2</v>
      </c>
      <c r="Q929" s="47">
        <f t="shared" si="937"/>
        <v>37.250996015936259</v>
      </c>
      <c r="R929" s="66">
        <f t="shared" si="938"/>
        <v>1136.1443850267381</v>
      </c>
      <c r="S929" s="92">
        <f t="shared" si="939"/>
        <v>3.0165054069436543</v>
      </c>
      <c r="T929" s="93">
        <f t="shared" si="940"/>
        <v>0.28457598178713722</v>
      </c>
      <c r="V929" s="98" t="str">
        <f t="shared" si="941"/>
        <v>BC</v>
      </c>
      <c r="W929" s="102">
        <f t="shared" si="942"/>
        <v>9.0762903947391784</v>
      </c>
      <c r="X929" s="103">
        <f t="shared" si="943"/>
        <v>1.7133933234076804E-2</v>
      </c>
      <c r="Y929" s="122">
        <f t="shared" si="944"/>
        <v>0.93874877169996729</v>
      </c>
      <c r="Z929" s="123">
        <f t="shared" si="945"/>
        <v>6.5247732030704816E-2</v>
      </c>
      <c r="AA929" s="123">
        <f t="shared" si="946"/>
        <v>6.1251228300032753E-2</v>
      </c>
      <c r="AB929" s="124">
        <f t="shared" si="947"/>
        <v>1.2826773244915171E-2</v>
      </c>
    </row>
    <row r="930" spans="2:28" x14ac:dyDescent="0.3">
      <c r="B930" s="5" t="s">
        <v>3</v>
      </c>
      <c r="C930" s="1">
        <v>8596</v>
      </c>
      <c r="D930" s="14">
        <v>4.34</v>
      </c>
      <c r="E930" s="1">
        <v>7844</v>
      </c>
      <c r="F930" s="1">
        <v>160</v>
      </c>
      <c r="G930" s="1">
        <v>514970</v>
      </c>
      <c r="H930" s="118">
        <f t="shared" si="932"/>
        <v>592</v>
      </c>
      <c r="I930" s="117"/>
      <c r="J930" s="117">
        <f t="shared" si="933"/>
        <v>1807.3732718894009</v>
      </c>
      <c r="K930" s="114">
        <f t="shared" si="929"/>
        <v>118656.68202764977</v>
      </c>
      <c r="L930" s="21">
        <f t="shared" si="930"/>
        <v>1980.6451612903227</v>
      </c>
      <c r="M930" s="31">
        <f t="shared" si="931"/>
        <v>36</v>
      </c>
      <c r="N930" s="31">
        <f t="shared" si="934"/>
        <v>1.999000499750125E-2</v>
      </c>
      <c r="O930" s="43">
        <f t="shared" si="935"/>
        <v>36.866359447004612</v>
      </c>
      <c r="P930" s="49">
        <f t="shared" si="936"/>
        <v>1.8613308515588647E-2</v>
      </c>
      <c r="Q930" s="47">
        <f t="shared" si="937"/>
        <v>136.40552995391707</v>
      </c>
      <c r="R930" s="66">
        <f t="shared" si="938"/>
        <v>869.88175675675677</v>
      </c>
      <c r="S930" s="92">
        <f t="shared" si="939"/>
        <v>11.09282422646478</v>
      </c>
      <c r="T930" s="93">
        <f t="shared" si="940"/>
        <v>0.16458196181698487</v>
      </c>
      <c r="V930" s="98" t="str">
        <f t="shared" si="941"/>
        <v>AL</v>
      </c>
      <c r="W930" s="102">
        <f t="shared" si="942"/>
        <v>29.948362354390682</v>
      </c>
      <c r="X930" s="103">
        <f t="shared" si="943"/>
        <v>1.9903061097630556E-2</v>
      </c>
      <c r="Y930" s="122">
        <f t="shared" si="944"/>
        <v>0.93113075849232196</v>
      </c>
      <c r="Z930" s="123">
        <f t="shared" si="945"/>
        <v>1.999000499750125E-2</v>
      </c>
      <c r="AA930" s="123">
        <f t="shared" si="946"/>
        <v>1.8613308515588647E-2</v>
      </c>
      <c r="AB930" s="124">
        <f t="shared" si="947"/>
        <v>1.7403698226520898E-2</v>
      </c>
    </row>
    <row r="931" spans="2:28" x14ac:dyDescent="0.3">
      <c r="B931" s="5" t="s">
        <v>4</v>
      </c>
      <c r="C931" s="1">
        <v>325</v>
      </c>
      <c r="D931" s="14">
        <v>1.36</v>
      </c>
      <c r="E931" s="1">
        <v>314</v>
      </c>
      <c r="F931" s="1">
        <v>7</v>
      </c>
      <c r="G931" s="1">
        <v>69036</v>
      </c>
      <c r="H931" s="118">
        <f t="shared" si="932"/>
        <v>4</v>
      </c>
      <c r="I931" s="117"/>
      <c r="J931" s="117">
        <f t="shared" si="933"/>
        <v>230.88235294117646</v>
      </c>
      <c r="K931" s="114">
        <f t="shared" si="929"/>
        <v>50761.76470588235</v>
      </c>
      <c r="L931" s="21">
        <f t="shared" si="930"/>
        <v>238.97058823529409</v>
      </c>
      <c r="M931" s="31">
        <f t="shared" si="931"/>
        <v>-0.94366197183098588</v>
      </c>
      <c r="N931" s="31">
        <f t="shared" si="934"/>
        <v>2.1806853582554516E-2</v>
      </c>
      <c r="O931" s="43">
        <f t="shared" si="935"/>
        <v>5.1470588235294112</v>
      </c>
      <c r="P931" s="49">
        <f t="shared" si="936"/>
        <v>2.1538461538461538E-2</v>
      </c>
      <c r="Q931" s="47">
        <f t="shared" si="937"/>
        <v>2.9411764705882351</v>
      </c>
      <c r="R931" s="66">
        <f t="shared" si="938"/>
        <v>17259</v>
      </c>
      <c r="S931" s="92">
        <f t="shared" si="939"/>
        <v>0</v>
      </c>
      <c r="T931" s="93">
        <f t="shared" si="940"/>
        <v>0</v>
      </c>
      <c r="V931" s="98" t="str">
        <f t="shared" si="941"/>
        <v>MA</v>
      </c>
      <c r="W931" s="102">
        <f t="shared" si="942"/>
        <v>118.59292050153397</v>
      </c>
      <c r="X931" s="103">
        <f t="shared" si="943"/>
        <v>5.613233906330708E-3</v>
      </c>
      <c r="Y931" s="122">
        <f t="shared" si="944"/>
        <v>0.98769230769230765</v>
      </c>
      <c r="Z931" s="123">
        <f t="shared" si="945"/>
        <v>2.1806853582554516E-2</v>
      </c>
      <c r="AA931" s="123">
        <f t="shared" si="946"/>
        <v>2.1538461538461538E-2</v>
      </c>
      <c r="AB931" s="124">
        <f t="shared" si="947"/>
        <v>4.5071736662343894E-3</v>
      </c>
    </row>
    <row r="932" spans="2:28" x14ac:dyDescent="0.3">
      <c r="B932" s="5" t="s">
        <v>5</v>
      </c>
      <c r="C932" s="1">
        <v>815</v>
      </c>
      <c r="D932" s="14">
        <v>1.17</v>
      </c>
      <c r="E932" s="1">
        <v>757</v>
      </c>
      <c r="F932" s="1">
        <v>15</v>
      </c>
      <c r="G932" s="1">
        <v>72560</v>
      </c>
      <c r="H932" s="118">
        <f t="shared" si="932"/>
        <v>43</v>
      </c>
      <c r="I932" s="117"/>
      <c r="J932" s="117">
        <f t="shared" si="933"/>
        <v>647.008547008547</v>
      </c>
      <c r="K932" s="114">
        <f t="shared" si="929"/>
        <v>62017.094017094023</v>
      </c>
      <c r="L932" s="21">
        <f t="shared" si="930"/>
        <v>696.58119658119665</v>
      </c>
      <c r="M932" s="31">
        <f t="shared" si="931"/>
        <v>13.333333333333334</v>
      </c>
      <c r="N932" s="31">
        <f t="shared" si="934"/>
        <v>1.9430051813471502E-2</v>
      </c>
      <c r="O932" s="43">
        <f t="shared" si="935"/>
        <v>12.820512820512821</v>
      </c>
      <c r="P932" s="49">
        <f t="shared" si="936"/>
        <v>1.8404907975460124E-2</v>
      </c>
      <c r="Q932" s="47">
        <f t="shared" si="937"/>
        <v>36.752136752136757</v>
      </c>
      <c r="R932" s="66">
        <f t="shared" si="938"/>
        <v>1687.4418604651162</v>
      </c>
      <c r="S932" s="92">
        <f t="shared" si="939"/>
        <v>2.3199023199023201</v>
      </c>
      <c r="T932" s="93">
        <f t="shared" si="940"/>
        <v>0.12210012210012211</v>
      </c>
      <c r="V932" s="98" t="str">
        <f t="shared" si="941"/>
        <v>SA</v>
      </c>
      <c r="W932" s="102">
        <f t="shared" si="942"/>
        <v>58.963895536562205</v>
      </c>
      <c r="X932" s="103">
        <f t="shared" si="943"/>
        <v>1.3392625774120905E-2</v>
      </c>
      <c r="Y932" s="122">
        <f t="shared" si="944"/>
        <v>0.94723926380368095</v>
      </c>
      <c r="Z932" s="123">
        <f t="shared" si="945"/>
        <v>1.9430051813471502E-2</v>
      </c>
      <c r="AA932" s="123">
        <f t="shared" si="946"/>
        <v>1.8404907975460124E-2</v>
      </c>
      <c r="AB932" s="124">
        <f t="shared" si="947"/>
        <v>9.425594702762486E-3</v>
      </c>
    </row>
    <row r="933" spans="2:28" x14ac:dyDescent="0.3">
      <c r="B933" s="5" t="s">
        <v>6</v>
      </c>
      <c r="C933" s="1">
        <v>1066</v>
      </c>
      <c r="D933" s="14">
        <v>0.96499999999999997</v>
      </c>
      <c r="E933" s="1">
        <v>1000</v>
      </c>
      <c r="F933" s="1">
        <v>63</v>
      </c>
      <c r="G933" s="1">
        <f>56976+C933</f>
        <v>58042</v>
      </c>
      <c r="H933" s="118">
        <f t="shared" si="932"/>
        <v>3</v>
      </c>
      <c r="I933" s="117"/>
      <c r="J933" s="117">
        <f t="shared" si="933"/>
        <v>1036.2694300518135</v>
      </c>
      <c r="K933" s="114">
        <f t="shared" si="929"/>
        <v>60147.150259067363</v>
      </c>
      <c r="L933" s="21">
        <f t="shared" si="930"/>
        <v>1104.6632124352332</v>
      </c>
      <c r="M933" s="31">
        <f t="shared" si="931"/>
        <v>2</v>
      </c>
      <c r="N933" s="31">
        <f t="shared" si="934"/>
        <v>5.9266227657572904E-2</v>
      </c>
      <c r="O933" s="43">
        <f t="shared" si="935"/>
        <v>65.284974093264253</v>
      </c>
      <c r="P933" s="49">
        <f t="shared" si="936"/>
        <v>5.9099437148217637E-2</v>
      </c>
      <c r="Q933" s="47">
        <f t="shared" si="937"/>
        <v>3.1088082901554404</v>
      </c>
      <c r="R933" s="66">
        <f t="shared" si="938"/>
        <v>19347.333333333332</v>
      </c>
      <c r="S933" s="92">
        <f t="shared" si="939"/>
        <v>0.29607698001480387</v>
      </c>
      <c r="T933" s="93">
        <f t="shared" si="940"/>
        <v>0</v>
      </c>
      <c r="V933" s="98" t="str">
        <f t="shared" si="941"/>
        <v>NS</v>
      </c>
      <c r="W933" s="102">
        <f t="shared" si="942"/>
        <v>9.5063728481221688</v>
      </c>
      <c r="X933" s="103">
        <f t="shared" si="943"/>
        <v>2.1898795843362143E-2</v>
      </c>
      <c r="Y933" s="122">
        <f t="shared" si="944"/>
        <v>0.99718574108818014</v>
      </c>
      <c r="Z933" s="123">
        <f t="shared" si="945"/>
        <v>5.9266227657572904E-2</v>
      </c>
      <c r="AA933" s="123">
        <f t="shared" si="946"/>
        <v>5.9099437148217637E-2</v>
      </c>
      <c r="AB933" s="124">
        <f t="shared" si="947"/>
        <v>1.7582581635686271E-2</v>
      </c>
    </row>
    <row r="934" spans="2:28" x14ac:dyDescent="0.3">
      <c r="B934" s="5" t="s">
        <v>7</v>
      </c>
      <c r="C934" s="1">
        <v>166</v>
      </c>
      <c r="D934" s="14">
        <v>0.77200000000000002</v>
      </c>
      <c r="E934" s="1">
        <v>163</v>
      </c>
      <c r="F934" s="1">
        <v>2</v>
      </c>
      <c r="G934" s="1">
        <f>44143*1.04</f>
        <v>45908.72</v>
      </c>
      <c r="H934" s="118">
        <f t="shared" si="932"/>
        <v>1</v>
      </c>
      <c r="I934" s="117"/>
      <c r="J934" s="117">
        <f t="shared" si="933"/>
        <v>211.13989637305698</v>
      </c>
      <c r="K934" s="114">
        <f t="shared" si="929"/>
        <v>59467.25388601036</v>
      </c>
      <c r="L934" s="21">
        <f t="shared" si="930"/>
        <v>215.02590673575128</v>
      </c>
      <c r="M934" s="31">
        <f t="shared" si="931"/>
        <v>-0.66666666666666663</v>
      </c>
      <c r="N934" s="31">
        <f t="shared" si="934"/>
        <v>1.2121212121212121E-2</v>
      </c>
      <c r="O934" s="43">
        <f t="shared" si="935"/>
        <v>2.5906735751295336</v>
      </c>
      <c r="P934" s="49">
        <f t="shared" si="936"/>
        <v>1.2048192771084338E-2</v>
      </c>
      <c r="Q934" s="47">
        <f t="shared" si="937"/>
        <v>1.2953367875647668</v>
      </c>
      <c r="R934" s="66">
        <f>IFERROR(G934/H934,20000)</f>
        <v>45908.72</v>
      </c>
      <c r="S934" s="92">
        <f t="shared" si="939"/>
        <v>0.1850481125092524</v>
      </c>
      <c r="T934" s="93">
        <f t="shared" si="940"/>
        <v>0</v>
      </c>
      <c r="V934" s="98" t="str">
        <f t="shared" si="941"/>
        <v>NB</v>
      </c>
      <c r="W934" s="102">
        <f t="shared" si="942"/>
        <v>417.68858837075419</v>
      </c>
      <c r="X934" s="103">
        <f t="shared" si="943"/>
        <v>4.3113998553206767E-3</v>
      </c>
      <c r="Y934" s="122">
        <f t="shared" si="944"/>
        <v>0.99397590361445787</v>
      </c>
      <c r="Z934" s="123">
        <f t="shared" si="945"/>
        <v>1.2121212121212121E-2</v>
      </c>
      <c r="AA934" s="123">
        <f t="shared" si="946"/>
        <v>1.2048192771084338E-2</v>
      </c>
      <c r="AB934" s="124">
        <f t="shared" si="947"/>
        <v>3.3560227016229422E-3</v>
      </c>
    </row>
    <row r="935" spans="2:28" x14ac:dyDescent="0.3">
      <c r="B935" s="5" t="s">
        <v>18</v>
      </c>
      <c r="C935" s="9">
        <v>33</v>
      </c>
      <c r="D935" s="15">
        <v>0.154</v>
      </c>
      <c r="E935" s="9">
        <v>27</v>
      </c>
      <c r="F935" s="9">
        <v>0</v>
      </c>
      <c r="G935" s="9">
        <v>13834</v>
      </c>
      <c r="H935" s="118">
        <f t="shared" si="932"/>
        <v>6</v>
      </c>
      <c r="I935" s="117"/>
      <c r="J935" s="117">
        <f t="shared" si="933"/>
        <v>175.32467532467533</v>
      </c>
      <c r="K935" s="115">
        <f t="shared" si="929"/>
        <v>89831.168831168834</v>
      </c>
      <c r="L935" s="22">
        <f t="shared" si="930"/>
        <v>214.28571428571428</v>
      </c>
      <c r="M935" s="31">
        <v>0</v>
      </c>
      <c r="N935" s="31">
        <f t="shared" si="934"/>
        <v>0</v>
      </c>
      <c r="O935" s="44">
        <f t="shared" si="935"/>
        <v>0</v>
      </c>
      <c r="P935" s="49">
        <f t="shared" si="936"/>
        <v>0</v>
      </c>
      <c r="Q935" s="47">
        <f t="shared" si="937"/>
        <v>38.961038961038959</v>
      </c>
      <c r="R935" s="66">
        <f>IFERROR(G935/H935,20000)</f>
        <v>2305.6666666666665</v>
      </c>
      <c r="S935" s="92">
        <f t="shared" si="939"/>
        <v>2.7829313543599254</v>
      </c>
      <c r="T935" s="93">
        <f t="shared" si="940"/>
        <v>0</v>
      </c>
      <c r="V935" s="98" t="str">
        <f t="shared" si="941"/>
        <v>PEI</v>
      </c>
      <c r="W935" s="102">
        <f t="shared" si="942"/>
        <v>501.1904761904762</v>
      </c>
      <c r="X935" s="103">
        <f t="shared" si="943"/>
        <v>2.84427489164839E-3</v>
      </c>
      <c r="Y935" s="122">
        <f t="shared" si="944"/>
        <v>0.81818181818181823</v>
      </c>
      <c r="Z935" s="123">
        <f t="shared" si="945"/>
        <v>0</v>
      </c>
      <c r="AA935" s="123">
        <f t="shared" si="946"/>
        <v>0</v>
      </c>
      <c r="AB935" s="124">
        <f t="shared" si="947"/>
        <v>2.5374237839937441E-3</v>
      </c>
    </row>
    <row r="936" spans="2:28" ht="15" thickBot="1" x14ac:dyDescent="0.35">
      <c r="B936" s="5" t="s">
        <v>11</v>
      </c>
      <c r="C936" s="9">
        <v>262</v>
      </c>
      <c r="D936" s="15">
        <v>0.52400000000000002</v>
      </c>
      <c r="E936" s="9">
        <v>258</v>
      </c>
      <c r="F936" s="9">
        <v>3</v>
      </c>
      <c r="G936" s="9">
        <v>19970</v>
      </c>
      <c r="H936" s="119">
        <f t="shared" si="932"/>
        <v>1</v>
      </c>
      <c r="I936" s="117"/>
      <c r="J936" s="117">
        <f t="shared" si="933"/>
        <v>492.36641221374043</v>
      </c>
      <c r="K936" s="115">
        <f t="shared" si="929"/>
        <v>38110.687022900762</v>
      </c>
      <c r="L936" s="22">
        <f t="shared" si="930"/>
        <v>500</v>
      </c>
      <c r="M936" s="31">
        <f>(H936-H923)/H923</f>
        <v>-0.99996383625054241</v>
      </c>
      <c r="N936" s="32">
        <f t="shared" si="934"/>
        <v>1.1494252873563218E-2</v>
      </c>
      <c r="O936" s="44">
        <f t="shared" si="935"/>
        <v>5.7251908396946565</v>
      </c>
      <c r="P936" s="50">
        <f t="shared" si="936"/>
        <v>1.1450381679389313E-2</v>
      </c>
      <c r="Q936" s="48">
        <f t="shared" si="937"/>
        <v>1.9083969465648853</v>
      </c>
      <c r="R936" s="67">
        <f>G936/H936</f>
        <v>19970</v>
      </c>
      <c r="S936" s="92">
        <f t="shared" si="939"/>
        <v>0.27262813522355506</v>
      </c>
      <c r="T936" s="93">
        <f t="shared" si="940"/>
        <v>0</v>
      </c>
      <c r="V936" s="99" t="str">
        <f t="shared" si="941"/>
        <v>NFLD</v>
      </c>
      <c r="W936" s="120">
        <f t="shared" si="942"/>
        <v>201.08266666666668</v>
      </c>
      <c r="X936" s="103">
        <f t="shared" si="943"/>
        <v>1.5643309052941114E-2</v>
      </c>
      <c r="Y936" s="122">
        <f t="shared" si="944"/>
        <v>0.99618320610687028</v>
      </c>
      <c r="Z936" s="123">
        <f t="shared" si="945"/>
        <v>1.1494252873563218E-2</v>
      </c>
      <c r="AA936" s="123">
        <f t="shared" si="946"/>
        <v>1.1450381679389313E-2</v>
      </c>
      <c r="AB936" s="124">
        <f t="shared" si="947"/>
        <v>1.4085365021505519E-2</v>
      </c>
    </row>
    <row r="937" spans="2:28" ht="15" thickBot="1" x14ac:dyDescent="0.35">
      <c r="B937" s="11" t="s">
        <v>10</v>
      </c>
      <c r="C937" s="12">
        <v>107346</v>
      </c>
      <c r="D937" s="16">
        <v>37.6</v>
      </c>
      <c r="E937" s="12">
        <v>71266</v>
      </c>
      <c r="F937" s="12">
        <v>8773</v>
      </c>
      <c r="G937" s="12">
        <f>SUM(G927:G936)</f>
        <v>3362439.72</v>
      </c>
      <c r="H937" s="81">
        <f t="shared" si="932"/>
        <v>27307</v>
      </c>
      <c r="I937" s="117"/>
      <c r="J937" s="117">
        <f t="shared" si="933"/>
        <v>1895.3723404255318</v>
      </c>
      <c r="K937" s="77">
        <f t="shared" si="929"/>
        <v>89426.588297872338</v>
      </c>
      <c r="L937" s="23">
        <f t="shared" si="930"/>
        <v>2854.9468085106382</v>
      </c>
      <c r="M937" s="31">
        <f>(H937-H924)/H924</f>
        <v>-0.98227642213100919</v>
      </c>
      <c r="N937" s="33">
        <f t="shared" si="934"/>
        <v>0.10960906558052949</v>
      </c>
      <c r="O937" s="45">
        <f>F937/D937</f>
        <v>233.32446808510636</v>
      </c>
      <c r="P937" s="53">
        <f t="shared" si="936"/>
        <v>8.1726380116632205E-2</v>
      </c>
      <c r="Q937" s="55">
        <f t="shared" si="937"/>
        <v>726.25</v>
      </c>
      <c r="R937" s="74">
        <f>G937/H937</f>
        <v>123.13471710550409</v>
      </c>
      <c r="S937" s="92">
        <f t="shared" si="939"/>
        <v>7.7127659574468082</v>
      </c>
      <c r="T937" s="93">
        <f t="shared" si="940"/>
        <v>0.37613981762917931</v>
      </c>
      <c r="V937" s="108" t="str">
        <f t="shared" si="941"/>
        <v>Canada</v>
      </c>
      <c r="W937" s="109">
        <f t="shared" si="942"/>
        <v>16.542558786853714</v>
      </c>
      <c r="X937" s="103">
        <f t="shared" si="943"/>
        <v>3.8065957446808511E-2</v>
      </c>
      <c r="Y937" s="122">
        <f t="shared" si="944"/>
        <v>0.74561697687850503</v>
      </c>
      <c r="Z937" s="123">
        <f t="shared" si="945"/>
        <v>0.10960906558052949</v>
      </c>
      <c r="AA937" s="123">
        <f t="shared" si="946"/>
        <v>8.1726380116632205E-2</v>
      </c>
      <c r="AB937" s="124">
        <f t="shared" si="947"/>
        <v>3.489716312056737E-2</v>
      </c>
    </row>
    <row r="938" spans="2:28" ht="15" thickBot="1" x14ac:dyDescent="0.35">
      <c r="B938" s="6" t="s">
        <v>9</v>
      </c>
      <c r="C938" s="7">
        <v>3335495</v>
      </c>
      <c r="D938" s="7">
        <v>327</v>
      </c>
      <c r="E938" s="7">
        <v>1479618</v>
      </c>
      <c r="F938" s="7">
        <v>137213</v>
      </c>
      <c r="G938" s="7">
        <v>41559884</v>
      </c>
      <c r="H938" s="82">
        <f t="shared" si="932"/>
        <v>1718664</v>
      </c>
      <c r="I938" s="117"/>
      <c r="J938" s="117">
        <f t="shared" si="933"/>
        <v>4524.8256880733943</v>
      </c>
      <c r="K938" s="78">
        <f t="shared" si="929"/>
        <v>127094.44648318042</v>
      </c>
      <c r="L938" s="24">
        <f t="shared" si="930"/>
        <v>10200.290519877675</v>
      </c>
      <c r="M938" s="31" t="e">
        <f>(H938-#REF!)/#REF!</f>
        <v>#REF!</v>
      </c>
      <c r="N938" s="33">
        <f t="shared" si="934"/>
        <v>8.4865394094991997E-2</v>
      </c>
      <c r="O938" s="46">
        <f>F938/D938</f>
        <v>419.61162079510706</v>
      </c>
      <c r="P938" s="52">
        <f t="shared" si="936"/>
        <v>4.1137222511201485E-2</v>
      </c>
      <c r="Q938" s="54">
        <f t="shared" si="937"/>
        <v>5255.8532110091746</v>
      </c>
      <c r="R938" s="72">
        <f>G938/H938</f>
        <v>24.181506100087045</v>
      </c>
      <c r="S938" s="92">
        <f t="shared" si="939"/>
        <v>179.75622542595019</v>
      </c>
      <c r="T938" s="93">
        <f t="shared" si="940"/>
        <v>2.1799912625600699</v>
      </c>
      <c r="V938" s="108" t="str">
        <f t="shared" si="941"/>
        <v>USA</v>
      </c>
      <c r="W938" s="109">
        <f t="shared" si="942"/>
        <v>57.42139494067721</v>
      </c>
      <c r="X938" s="103">
        <f t="shared" si="943"/>
        <v>9.5695467014813823E-2</v>
      </c>
      <c r="Y938" s="122">
        <f t="shared" si="944"/>
        <v>0.48473494938532363</v>
      </c>
      <c r="Z938" s="123">
        <f t="shared" si="945"/>
        <v>8.4865394094991997E-2</v>
      </c>
      <c r="AA938" s="123">
        <f t="shared" si="946"/>
        <v>4.1137222511201485E-2</v>
      </c>
      <c r="AB938" s="124">
        <f t="shared" si="947"/>
        <v>6.9249826164484121E-2</v>
      </c>
    </row>
  </sheetData>
  <conditionalFormatting sqref="K17:K28">
    <cfRule type="colorScale" priority="10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7:O28">
    <cfRule type="colorScale" priority="10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7:N28">
    <cfRule type="colorScale" priority="10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7:M28">
    <cfRule type="colorScale" priority="10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7:M28">
    <cfRule type="colorScale" priority="10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1:K42">
    <cfRule type="colorScale" priority="10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1:O42">
    <cfRule type="colorScale" priority="10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1:N42">
    <cfRule type="colorScale" priority="10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1:L42">
    <cfRule type="colorScale" priority="10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1:L42">
    <cfRule type="colorScale" priority="10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45:K56">
    <cfRule type="colorScale" priority="10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5:O56">
    <cfRule type="colorScale" priority="10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5:N56">
    <cfRule type="colorScale" priority="10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5:L56">
    <cfRule type="colorScale" priority="10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5:L56">
    <cfRule type="colorScale" priority="10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14">
    <cfRule type="colorScale" priority="10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:O14">
    <cfRule type="colorScale" priority="10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14">
    <cfRule type="colorScale" priority="10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M14">
    <cfRule type="colorScale" priority="10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M14">
    <cfRule type="colorScale" priority="10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59:K70">
    <cfRule type="colorScale" priority="10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9:O70">
    <cfRule type="colorScale" priority="10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9:N70">
    <cfRule type="colorScale" priority="10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9:L70">
    <cfRule type="colorScale" priority="10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9:L70">
    <cfRule type="colorScale" priority="10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3:K84">
    <cfRule type="colorScale" priority="10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3:O84">
    <cfRule type="colorScale" priority="10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73:N84">
    <cfRule type="colorScale" priority="10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3:L84">
    <cfRule type="colorScale" priority="10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3:L84">
    <cfRule type="colorScale" priority="10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87:K98">
    <cfRule type="colorScale" priority="10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7:O98">
    <cfRule type="colorScale" priority="10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87:N98">
    <cfRule type="colorScale" priority="10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7:L98">
    <cfRule type="colorScale" priority="10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7:L98">
    <cfRule type="colorScale" priority="10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01:K112">
    <cfRule type="colorScale" priority="10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01:O112">
    <cfRule type="colorScale" priority="10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01:N112">
    <cfRule type="colorScale" priority="10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1:L112">
    <cfRule type="colorScale" priority="10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1:L112">
    <cfRule type="colorScale" priority="10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:P14">
    <cfRule type="colorScale" priority="10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7:P28">
    <cfRule type="colorScale" priority="10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1:P42">
    <cfRule type="colorScale" priority="10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5:P56">
    <cfRule type="colorScale" priority="10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9:P70">
    <cfRule type="colorScale" priority="10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73:P84">
    <cfRule type="colorScale" priority="10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87:P98">
    <cfRule type="colorScale" priority="10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01:P112">
    <cfRule type="colorScale" priority="10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:Q14">
    <cfRule type="colorScale" priority="10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17:Q28">
    <cfRule type="colorScale" priority="10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1:Q42">
    <cfRule type="colorScale" priority="10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45:Q56">
    <cfRule type="colorScale" priority="10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9:Q70">
    <cfRule type="colorScale" priority="10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73:Q84">
    <cfRule type="colorScale" priority="10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87:Q98">
    <cfRule type="colorScale" priority="10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101:Q112">
    <cfRule type="colorScale" priority="10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15:K126">
    <cfRule type="colorScale" priority="10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5:O126">
    <cfRule type="colorScale" priority="10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15:N126">
    <cfRule type="colorScale" priority="10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15:L126">
    <cfRule type="colorScale" priority="10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15:L126">
    <cfRule type="colorScale" priority="10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15:P126">
    <cfRule type="colorScale" priority="10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115:Q126">
    <cfRule type="colorScale" priority="10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29:K140">
    <cfRule type="colorScale" priority="10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9:O140">
    <cfRule type="colorScale" priority="10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29:N140">
    <cfRule type="colorScale" priority="10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9:L140">
    <cfRule type="colorScale" priority="10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9:L140">
    <cfRule type="colorScale" priority="10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29:P140">
    <cfRule type="colorScale" priority="10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129:Q140">
    <cfRule type="colorScale" priority="10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43:K154">
    <cfRule type="colorScale" priority="9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43:O154">
    <cfRule type="colorScale" priority="9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43:N154">
    <cfRule type="colorScale" priority="9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43:L154">
    <cfRule type="colorScale" priority="9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43:L154">
    <cfRule type="colorScale" priority="10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43:P154">
    <cfRule type="colorScale" priority="9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143:Q154">
    <cfRule type="colorScale" priority="9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:R14">
    <cfRule type="colorScale" priority="9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7:R28">
    <cfRule type="colorScale" priority="9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31:R42">
    <cfRule type="colorScale" priority="9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5:R56">
    <cfRule type="colorScale" priority="9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73:R84">
    <cfRule type="colorScale" priority="9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59:R70">
    <cfRule type="colorScale" priority="9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87:R98">
    <cfRule type="colorScale" priority="9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01:R112">
    <cfRule type="colorScale" priority="9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15:R126">
    <cfRule type="colorScale" priority="9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9:R140">
    <cfRule type="colorScale" priority="9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43:R154">
    <cfRule type="colorScale" priority="9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7:K168">
    <cfRule type="colorScale" priority="9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57:O168">
    <cfRule type="colorScale" priority="9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57:N168">
    <cfRule type="colorScale" priority="9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57:L168">
    <cfRule type="colorScale" priority="9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57:L168">
    <cfRule type="colorScale" priority="9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57:P168">
    <cfRule type="colorScale" priority="9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157:Q168">
    <cfRule type="colorScale" priority="9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57:R168">
    <cfRule type="colorScale" priority="9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71:K182">
    <cfRule type="colorScale" priority="9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71:O182">
    <cfRule type="colorScale" priority="9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71:N182">
    <cfRule type="colorScale" priority="9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71:L182">
    <cfRule type="colorScale" priority="9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71:L182">
    <cfRule type="colorScale" priority="9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71:P182">
    <cfRule type="colorScale" priority="9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171:Q182">
    <cfRule type="colorScale" priority="9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71:R182">
    <cfRule type="colorScale" priority="9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85:K196">
    <cfRule type="colorScale" priority="9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85:O196">
    <cfRule type="colorScale" priority="9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85:N196">
    <cfRule type="colorScale" priority="9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85:L196">
    <cfRule type="colorScale" priority="9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85:L196">
    <cfRule type="colorScale" priority="9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85:P196">
    <cfRule type="colorScale" priority="9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185:Q196">
    <cfRule type="colorScale" priority="9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85:R196">
    <cfRule type="colorScale" priority="9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7:M28">
    <cfRule type="colorScale" priority="9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1:M42">
    <cfRule type="colorScale" priority="9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1:M42">
    <cfRule type="colorScale" priority="9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1:M42">
    <cfRule type="colorScale" priority="9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5:M56">
    <cfRule type="colorScale" priority="9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5:M56">
    <cfRule type="colorScale" priority="9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5:M56">
    <cfRule type="colorScale" priority="9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9:M70">
    <cfRule type="colorScale" priority="9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9:M70">
    <cfRule type="colorScale" priority="9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9:M70">
    <cfRule type="colorScale" priority="9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3:M84">
    <cfRule type="colorScale" priority="8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3:M84">
    <cfRule type="colorScale" priority="8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3:M84">
    <cfRule type="colorScale" priority="8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7:M98">
    <cfRule type="colorScale" priority="8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7:M98">
    <cfRule type="colorScale" priority="8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7:M98">
    <cfRule type="colorScale" priority="8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01:M112">
    <cfRule type="colorScale" priority="8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01:M112">
    <cfRule type="colorScale" priority="8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01:M112">
    <cfRule type="colorScale" priority="8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15:M126">
    <cfRule type="colorScale" priority="8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15:M126">
    <cfRule type="colorScale" priority="8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15:M126">
    <cfRule type="colorScale" priority="8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29:M140">
    <cfRule type="colorScale" priority="8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29:M140">
    <cfRule type="colorScale" priority="8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29:M140">
    <cfRule type="colorScale" priority="8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43:M154">
    <cfRule type="colorScale" priority="8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43:M154">
    <cfRule type="colorScale" priority="8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43:M154">
    <cfRule type="colorScale" priority="8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57:M168">
    <cfRule type="colorScale" priority="8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57:M168">
    <cfRule type="colorScale" priority="8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57:M168">
    <cfRule type="colorScale" priority="8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71:M182">
    <cfRule type="colorScale" priority="8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71:M182">
    <cfRule type="colorScale" priority="8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71:M182">
    <cfRule type="colorScale" priority="8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85:M196">
    <cfRule type="colorScale" priority="8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85:M196">
    <cfRule type="colorScale" priority="8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85:M196">
    <cfRule type="colorScale" priority="8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99:K210">
    <cfRule type="colorScale" priority="8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99:O210">
    <cfRule type="colorScale" priority="8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99:N210">
    <cfRule type="colorScale" priority="8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99:L210">
    <cfRule type="colorScale" priority="8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99:L210">
    <cfRule type="colorScale" priority="8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99:P210">
    <cfRule type="colorScale" priority="8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199:Q210">
    <cfRule type="colorScale" priority="8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99:R210">
    <cfRule type="colorScale" priority="8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99:M210">
    <cfRule type="colorScale" priority="8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99:M210">
    <cfRule type="colorScale" priority="8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99:M210">
    <cfRule type="colorScale" priority="8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13:K224">
    <cfRule type="colorScale" priority="8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13:O224">
    <cfRule type="colorScale" priority="8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13:N224">
    <cfRule type="colorScale" priority="8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13:L224">
    <cfRule type="colorScale" priority="8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13:L224">
    <cfRule type="colorScale" priority="8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13:P224">
    <cfRule type="colorScale" priority="8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13:Q224">
    <cfRule type="colorScale" priority="8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13:R224">
    <cfRule type="colorScale" priority="8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13:M224">
    <cfRule type="colorScale" priority="8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13:M224">
    <cfRule type="colorScale" priority="8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13:M224">
    <cfRule type="colorScale" priority="8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27:K238">
    <cfRule type="colorScale" priority="8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27:O238">
    <cfRule type="colorScale" priority="8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27:N238">
    <cfRule type="colorScale" priority="8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27:L238">
    <cfRule type="colorScale" priority="8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27:L238">
    <cfRule type="colorScale" priority="8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27:P238">
    <cfRule type="colorScale" priority="8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27:Q238">
    <cfRule type="colorScale" priority="8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27:R238">
    <cfRule type="colorScale" priority="8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27:M238">
    <cfRule type="colorScale" priority="8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27:M238">
    <cfRule type="colorScale" priority="8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27:M238">
    <cfRule type="colorScale" priority="8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41:K252">
    <cfRule type="colorScale" priority="8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41:O252">
    <cfRule type="colorScale" priority="8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41:N252">
    <cfRule type="colorScale" priority="8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41:L252">
    <cfRule type="colorScale" priority="8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41:L252">
    <cfRule type="colorScale" priority="8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41:P252">
    <cfRule type="colorScale" priority="8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41:Q252">
    <cfRule type="colorScale" priority="8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41:R252">
    <cfRule type="colorScale" priority="8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41:M252">
    <cfRule type="colorScale" priority="8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41:M252">
    <cfRule type="colorScale" priority="8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41:M252">
    <cfRule type="colorScale" priority="8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55:K266">
    <cfRule type="colorScale" priority="8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55:O266">
    <cfRule type="colorScale" priority="8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55:N266">
    <cfRule type="colorScale" priority="8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55:L266">
    <cfRule type="colorScale" priority="8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55:L266">
    <cfRule type="colorScale" priority="8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55:P266">
    <cfRule type="colorScale" priority="8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55:Q266">
    <cfRule type="colorScale" priority="8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55:R266">
    <cfRule type="colorScale" priority="8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55:M266">
    <cfRule type="colorScale" priority="8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55:M266">
    <cfRule type="colorScale" priority="8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55:M266">
    <cfRule type="colorScale" priority="8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69:K280">
    <cfRule type="colorScale" priority="8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69:O280">
    <cfRule type="colorScale" priority="8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69:N280">
    <cfRule type="colorScale" priority="8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69:L280">
    <cfRule type="colorScale" priority="8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69:L280">
    <cfRule type="colorScale" priority="8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69:P280">
    <cfRule type="colorScale" priority="8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69:Q280">
    <cfRule type="colorScale" priority="8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69:R280">
    <cfRule type="colorScale" priority="8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69:M280">
    <cfRule type="colorScale" priority="8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69:M280">
    <cfRule type="colorScale" priority="8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69:M280">
    <cfRule type="colorScale" priority="8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83:K294">
    <cfRule type="colorScale" priority="8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83:O294">
    <cfRule type="colorScale" priority="8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83:N294">
    <cfRule type="colorScale" priority="8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83:L294">
    <cfRule type="colorScale" priority="8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83:L294">
    <cfRule type="colorScale" priority="8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83:P294">
    <cfRule type="colorScale" priority="8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83:Q294">
    <cfRule type="colorScale" priority="8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83:R294">
    <cfRule type="colorScale" priority="7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83:M294">
    <cfRule type="colorScale" priority="7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83:M294">
    <cfRule type="colorScale" priority="7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83:M294">
    <cfRule type="colorScale" priority="7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97:K308">
    <cfRule type="colorScale" priority="7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97:O308">
    <cfRule type="colorScale" priority="7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97:N308">
    <cfRule type="colorScale" priority="7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97:L308">
    <cfRule type="colorScale" priority="7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97:L308">
    <cfRule type="colorScale" priority="7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97:P308">
    <cfRule type="colorScale" priority="7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97:Q308">
    <cfRule type="colorScale" priority="7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97:R308">
    <cfRule type="colorScale" priority="7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97:M308">
    <cfRule type="colorScale" priority="7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97:M308">
    <cfRule type="colorScale" priority="7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97:M308">
    <cfRule type="colorScale" priority="7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11:K322">
    <cfRule type="colorScale" priority="7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11:O322">
    <cfRule type="colorScale" priority="7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11:N322">
    <cfRule type="colorScale" priority="7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11:L322">
    <cfRule type="colorScale" priority="7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11:L322">
    <cfRule type="colorScale" priority="7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11:P322">
    <cfRule type="colorScale" priority="7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11:Q322">
    <cfRule type="colorScale" priority="7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11:R322">
    <cfRule type="colorScale" priority="7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11:M322">
    <cfRule type="colorScale" priority="7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11:M322">
    <cfRule type="colorScale" priority="7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11:M322">
    <cfRule type="colorScale" priority="7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25:K336">
    <cfRule type="colorScale" priority="7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25:O336">
    <cfRule type="colorScale" priority="7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25:N336">
    <cfRule type="colorScale" priority="7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25:L336">
    <cfRule type="colorScale" priority="7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25:L336">
    <cfRule type="colorScale" priority="7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25:P336">
    <cfRule type="colorScale" priority="7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25:Q336">
    <cfRule type="colorScale" priority="7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25:R336">
    <cfRule type="colorScale" priority="7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25:M336">
    <cfRule type="colorScale" priority="7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25:M336">
    <cfRule type="colorScale" priority="7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25:M336">
    <cfRule type="colorScale" priority="7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39:K350">
    <cfRule type="colorScale" priority="7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39:O350">
    <cfRule type="colorScale" priority="7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39:N350">
    <cfRule type="colorScale" priority="7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39:L350">
    <cfRule type="colorScale" priority="7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39:L350">
    <cfRule type="colorScale" priority="7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39:P350">
    <cfRule type="colorScale" priority="7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39:Q350">
    <cfRule type="colorScale" priority="7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39:R350">
    <cfRule type="colorScale" priority="7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39:M350">
    <cfRule type="colorScale" priority="7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39:M350">
    <cfRule type="colorScale" priority="7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39:M350">
    <cfRule type="colorScale" priority="7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53:K364">
    <cfRule type="colorScale" priority="7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53:O364">
    <cfRule type="colorScale" priority="7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53:N364">
    <cfRule type="colorScale" priority="7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53:L364">
    <cfRule type="colorScale" priority="7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53:L364">
    <cfRule type="colorScale" priority="7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53:P364">
    <cfRule type="colorScale" priority="7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53:Q364">
    <cfRule type="colorScale" priority="7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53:R364">
    <cfRule type="colorScale" priority="7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53:M364">
    <cfRule type="colorScale" priority="7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53:M364">
    <cfRule type="colorScale" priority="7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53:M364">
    <cfRule type="colorScale" priority="7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7:S28">
    <cfRule type="colorScale" priority="7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1:S42">
    <cfRule type="colorScale" priority="7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45:S56">
    <cfRule type="colorScale" priority="7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59:S70">
    <cfRule type="colorScale" priority="7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73:S84">
    <cfRule type="colorScale" priority="7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87:S98">
    <cfRule type="colorScale" priority="7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01:S112">
    <cfRule type="colorScale" priority="7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15:S126">
    <cfRule type="colorScale" priority="7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29:S140">
    <cfRule type="colorScale" priority="7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43:S154">
    <cfRule type="colorScale" priority="7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57:S168">
    <cfRule type="colorScale" priority="7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71:S182">
    <cfRule type="colorScale" priority="7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85:S196">
    <cfRule type="colorScale" priority="7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99:S210">
    <cfRule type="colorScale" priority="7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13:S224">
    <cfRule type="colorScale" priority="7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27:S238">
    <cfRule type="colorScale" priority="7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41:S252">
    <cfRule type="colorScale" priority="7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55:S266">
    <cfRule type="colorScale" priority="7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69:S280">
    <cfRule type="colorScale" priority="7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83:S294">
    <cfRule type="colorScale" priority="7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97:S308">
    <cfRule type="colorScale" priority="7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11:S322">
    <cfRule type="colorScale" priority="7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25:S336">
    <cfRule type="colorScale" priority="7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39:S350">
    <cfRule type="colorScale" priority="7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53:S364">
    <cfRule type="colorScale" priority="7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7:T28">
    <cfRule type="colorScale" priority="7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1:T42">
    <cfRule type="colorScale" priority="6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45:T56">
    <cfRule type="colorScale" priority="6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9:T70">
    <cfRule type="colorScale" priority="6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3:T84">
    <cfRule type="colorScale" priority="6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7:T98">
    <cfRule type="colorScale" priority="6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01:T112">
    <cfRule type="colorScale" priority="6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15:T126">
    <cfRule type="colorScale" priority="6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29:T140">
    <cfRule type="colorScale" priority="6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43:T154">
    <cfRule type="colorScale" priority="6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57:T168">
    <cfRule type="colorScale" priority="6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71:T182">
    <cfRule type="colorScale" priority="6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85:T196">
    <cfRule type="colorScale" priority="6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99:T210">
    <cfRule type="colorScale" priority="6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13:T224">
    <cfRule type="colorScale" priority="6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27:T238">
    <cfRule type="colorScale" priority="6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41:T252">
    <cfRule type="colorScale" priority="6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55:T266">
    <cfRule type="colorScale" priority="6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69:T280">
    <cfRule type="colorScale" priority="6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83:T294">
    <cfRule type="colorScale" priority="6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97:T308">
    <cfRule type="colorScale" priority="6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11:T322">
    <cfRule type="colorScale" priority="6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25:T336">
    <cfRule type="colorScale" priority="6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39:T350">
    <cfRule type="colorScale" priority="6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53:T364">
    <cfRule type="colorScale" priority="6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67:K378">
    <cfRule type="colorScale" priority="6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67:O378">
    <cfRule type="colorScale" priority="6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67:N378">
    <cfRule type="colorScale" priority="6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67:L378">
    <cfRule type="colorScale" priority="6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67:L378">
    <cfRule type="colorScale" priority="6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67:P378">
    <cfRule type="colorScale" priority="6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67:Q378">
    <cfRule type="colorScale" priority="6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67:R378">
    <cfRule type="colorScale" priority="6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67:M378">
    <cfRule type="colorScale" priority="6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67:M378">
    <cfRule type="colorScale" priority="6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67:M378">
    <cfRule type="colorScale" priority="6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67:S378">
    <cfRule type="colorScale" priority="6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67:T378">
    <cfRule type="colorScale" priority="6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81:K392">
    <cfRule type="colorScale" priority="6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81:O392">
    <cfRule type="colorScale" priority="6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81:N392">
    <cfRule type="colorScale" priority="6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81:L392">
    <cfRule type="colorScale" priority="6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81:L392">
    <cfRule type="colorScale" priority="6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81:P392">
    <cfRule type="colorScale" priority="6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81:Q392">
    <cfRule type="colorScale" priority="6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81:R392">
    <cfRule type="colorScale" priority="6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81:M392">
    <cfRule type="colorScale" priority="6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81:M392">
    <cfRule type="colorScale" priority="6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81:M392">
    <cfRule type="colorScale" priority="6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81:S392">
    <cfRule type="colorScale" priority="6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81:T392">
    <cfRule type="colorScale" priority="6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95:K406">
    <cfRule type="colorScale" priority="6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95:O406">
    <cfRule type="colorScale" priority="6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95:N406">
    <cfRule type="colorScale" priority="6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95:L406">
    <cfRule type="colorScale" priority="6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95:L406">
    <cfRule type="colorScale" priority="6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95:P406">
    <cfRule type="colorScale" priority="6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95:Q406">
    <cfRule type="colorScale" priority="6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95:R406">
    <cfRule type="colorScale" priority="6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95:M406">
    <cfRule type="colorScale" priority="6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95:M406">
    <cfRule type="colorScale" priority="6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95:M406">
    <cfRule type="colorScale" priority="6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95:S406">
    <cfRule type="colorScale" priority="6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95:T406">
    <cfRule type="colorScale" priority="6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409:K420">
    <cfRule type="colorScale" priority="6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09:O420">
    <cfRule type="colorScale" priority="6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09:N420">
    <cfRule type="colorScale" priority="6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09:L420">
    <cfRule type="colorScale" priority="6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09:L420">
    <cfRule type="colorScale" priority="6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09:P420">
    <cfRule type="colorScale" priority="6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409:Q420">
    <cfRule type="colorScale" priority="6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409:R420">
    <cfRule type="colorScale" priority="6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09:M420">
    <cfRule type="colorScale" priority="6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09:M420">
    <cfRule type="colorScale" priority="6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09:M420">
    <cfRule type="colorScale" priority="6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409:S420">
    <cfRule type="colorScale" priority="6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409:T420">
    <cfRule type="colorScale" priority="6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423:K434">
    <cfRule type="colorScale" priority="6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23:O434">
    <cfRule type="colorScale" priority="6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23:N434">
    <cfRule type="colorScale" priority="6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23:L434">
    <cfRule type="colorScale" priority="6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23:L434">
    <cfRule type="colorScale" priority="6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23:P434">
    <cfRule type="colorScale" priority="6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423:Q434">
    <cfRule type="colorScale" priority="6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423:R434">
    <cfRule type="colorScale" priority="6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23:M434">
    <cfRule type="colorScale" priority="6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23:M434">
    <cfRule type="colorScale" priority="6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23:M434">
    <cfRule type="colorScale" priority="6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423:S434">
    <cfRule type="colorScale" priority="6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423:T434">
    <cfRule type="colorScale" priority="6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437:K448"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37:O448">
    <cfRule type="colorScale" priority="5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37:N448">
    <cfRule type="colorScale" priority="5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37:L448">
    <cfRule type="colorScale" priority="5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37:L448">
    <cfRule type="colorScale" priority="6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37:P448">
    <cfRule type="colorScale" priority="5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437:Q448">
    <cfRule type="colorScale" priority="5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437:R448">
    <cfRule type="colorScale" priority="5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37:M448">
    <cfRule type="colorScale" priority="5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37:M448">
    <cfRule type="colorScale" priority="5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37:M448">
    <cfRule type="colorScale" priority="5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437:S448">
    <cfRule type="colorScale" priority="5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437:T448">
    <cfRule type="colorScale" priority="5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437:W448"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437:X448">
    <cfRule type="colorScale" priority="5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51:K462">
    <cfRule type="colorScale" priority="5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51:O462">
    <cfRule type="colorScale" priority="5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51:N462">
    <cfRule type="colorScale" priority="5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51:L462">
    <cfRule type="colorScale" priority="5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51:L462">
    <cfRule type="colorScale" priority="5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51:P462">
    <cfRule type="colorScale" priority="5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451:Q462">
    <cfRule type="colorScale" priority="5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451:R462">
    <cfRule type="colorScale" priority="5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51:M462">
    <cfRule type="colorScale" priority="5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51:M462">
    <cfRule type="colorScale" priority="5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51:M462">
    <cfRule type="colorScale" priority="5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451:S462">
    <cfRule type="colorScale" priority="5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451:T462">
    <cfRule type="colorScale" priority="5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451:W462">
    <cfRule type="colorScale" priority="5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451:X462">
    <cfRule type="colorScale" priority="5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65:K476">
    <cfRule type="colorScale" priority="5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65:O476">
    <cfRule type="colorScale" priority="5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65:N476">
    <cfRule type="colorScale" priority="5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65:L476">
    <cfRule type="colorScale" priority="5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65:L476">
    <cfRule type="colorScale" priority="5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65:P476">
    <cfRule type="colorScale" priority="5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465:Q476">
    <cfRule type="colorScale" priority="5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465:R476">
    <cfRule type="colorScale" priority="5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65:M476">
    <cfRule type="colorScale" priority="5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65:M476">
    <cfRule type="colorScale" priority="5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65:M476">
    <cfRule type="colorScale" priority="5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465:S476">
    <cfRule type="colorScale" priority="5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465:T476">
    <cfRule type="colorScale" priority="5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465:W476">
    <cfRule type="colorScale" priority="5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465:X476">
    <cfRule type="colorScale" priority="5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79:K490">
    <cfRule type="colorScale" priority="5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79:O490">
    <cfRule type="colorScale" priority="5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79:N490">
    <cfRule type="colorScale" priority="5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79:L490">
    <cfRule type="colorScale" priority="5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79:L490">
    <cfRule type="colorScale" priority="5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79:P490">
    <cfRule type="colorScale" priority="5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479:Q490">
    <cfRule type="colorScale" priority="5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479:R490">
    <cfRule type="colorScale" priority="5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79:M490">
    <cfRule type="colorScale" priority="5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79:M490">
    <cfRule type="colorScale" priority="5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79:M490">
    <cfRule type="colorScale" priority="5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479:S490">
    <cfRule type="colorScale" priority="5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479:T490">
    <cfRule type="colorScale" priority="5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479:W490">
    <cfRule type="colorScale" priority="5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479:X490"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93:K504">
    <cfRule type="colorScale" priority="4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93:O504">
    <cfRule type="colorScale" priority="4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93:N504">
    <cfRule type="colorScale" priority="4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93:L504">
    <cfRule type="colorScale" priority="4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93:L504">
    <cfRule type="colorScale" priority="5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93:P504">
    <cfRule type="colorScale" priority="4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493:Q504">
    <cfRule type="colorScale" priority="4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493:R504">
    <cfRule type="colorScale" priority="4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93:M504">
    <cfRule type="colorScale" priority="4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93:M504">
    <cfRule type="colorScale" priority="4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93:M504">
    <cfRule type="colorScale" priority="4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493:S504">
    <cfRule type="colorScale" priority="4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493:T504">
    <cfRule type="colorScale" priority="4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493:W504"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493:X504"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07:K518"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07:O518">
    <cfRule type="colorScale" priority="4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07:N518">
    <cfRule type="colorScale" priority="4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07:L518">
    <cfRule type="colorScale" priority="4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07:L518">
    <cfRule type="colorScale" priority="4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07:P518">
    <cfRule type="colorScale" priority="4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07:Q518">
    <cfRule type="colorScale" priority="4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07:R518"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07:M518">
    <cfRule type="colorScale" priority="4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07:M518">
    <cfRule type="colorScale" priority="4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07:M518">
    <cfRule type="colorScale" priority="4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507:S518">
    <cfRule type="colorScale" priority="4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07:T518">
    <cfRule type="colorScale" priority="4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507:W518">
    <cfRule type="colorScale" priority="4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07:X518">
    <cfRule type="colorScale" priority="4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21:K532">
    <cfRule type="colorScale" priority="4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21:O532">
    <cfRule type="colorScale" priority="4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21:N532">
    <cfRule type="colorScale" priority="4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21:L532">
    <cfRule type="colorScale" priority="4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21:L532">
    <cfRule type="colorScale" priority="4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21:P532">
    <cfRule type="colorScale" priority="4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21:Q532">
    <cfRule type="colorScale" priority="4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21:R532">
    <cfRule type="colorScale" priority="4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21:M532">
    <cfRule type="colorScale" priority="4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21:M532">
    <cfRule type="colorScale" priority="4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21:M532">
    <cfRule type="colorScale" priority="4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521:S532">
    <cfRule type="colorScale" priority="4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21:T532">
    <cfRule type="colorScale" priority="4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521:W532"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21:X532">
    <cfRule type="colorScale" priority="4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35:K546"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35:O546">
    <cfRule type="colorScale" priority="4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35:N546">
    <cfRule type="colorScale" priority="4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35:L546">
    <cfRule type="colorScale" priority="4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35:L546">
    <cfRule type="colorScale" priority="4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35:P546">
    <cfRule type="colorScale" priority="4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35:Q546">
    <cfRule type="colorScale" priority="4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35:R546">
    <cfRule type="colorScale" priority="4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35:M546">
    <cfRule type="colorScale" priority="4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35:M546">
    <cfRule type="colorScale" priority="4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35:M546">
    <cfRule type="colorScale" priority="4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535:S546">
    <cfRule type="colorScale" priority="4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35:T546">
    <cfRule type="colorScale" priority="4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535:W546"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35:X546">
    <cfRule type="colorScale" priority="4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49:K560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49:O560">
    <cfRule type="colorScale" priority="4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49:N560">
    <cfRule type="colorScale" priority="4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49:L560">
    <cfRule type="colorScale" priority="4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49:L560">
    <cfRule type="colorScale" priority="4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49:P560">
    <cfRule type="colorScale" priority="4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49:Q560">
    <cfRule type="colorScale" priority="4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49:R560"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49:M560">
    <cfRule type="colorScale" priority="4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49:M560">
    <cfRule type="colorScale" priority="4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49:M560">
    <cfRule type="colorScale" priority="4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549:S560">
    <cfRule type="colorScale" priority="4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49:T560">
    <cfRule type="colorScale" priority="4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549:W560"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49:X560"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63:K574"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63:O574">
    <cfRule type="colorScale" priority="4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63:N574">
    <cfRule type="colorScale" priority="4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63:L574">
    <cfRule type="colorScale" priority="4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63:L574">
    <cfRule type="colorScale" priority="4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63:P574">
    <cfRule type="colorScale" priority="4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63:Q574">
    <cfRule type="colorScale" priority="4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63:R574"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63:M574">
    <cfRule type="colorScale" priority="4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63:M574">
    <cfRule type="colorScale" priority="4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63:M574">
    <cfRule type="colorScale" priority="4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563:S574">
    <cfRule type="colorScale" priority="4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63:T574">
    <cfRule type="colorScale" priority="4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563:W574"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63:X574">
    <cfRule type="colorScale" priority="4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77:K588">
    <cfRule type="colorScale" priority="4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77:O588">
    <cfRule type="colorScale" priority="4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77:N588">
    <cfRule type="colorScale" priority="4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77:L588">
    <cfRule type="colorScale" priority="4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77:L588">
    <cfRule type="colorScale" priority="4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77:P588">
    <cfRule type="colorScale" priority="4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77:Q588">
    <cfRule type="colorScale" priority="4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77:R588">
    <cfRule type="colorScale" priority="4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77:M588">
    <cfRule type="colorScale" priority="4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77:M588">
    <cfRule type="colorScale" priority="4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77:M588">
    <cfRule type="colorScale" priority="4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577:S588">
    <cfRule type="colorScale" priority="3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77:T588">
    <cfRule type="colorScale" priority="3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577:W588">
    <cfRule type="colorScale" priority="3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77:X588"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91:K602">
    <cfRule type="colorScale" priority="3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91:O602">
    <cfRule type="colorScale" priority="3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91:N602">
    <cfRule type="colorScale" priority="3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91:L602">
    <cfRule type="colorScale" priority="3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91:L602">
    <cfRule type="colorScale" priority="3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91:P602">
    <cfRule type="colorScale" priority="3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91:Q602">
    <cfRule type="colorScale" priority="3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91:R602"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91:M602">
    <cfRule type="colorScale" priority="3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91:M602">
    <cfRule type="colorScale" priority="3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91:M602">
    <cfRule type="colorScale" priority="3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591:S602">
    <cfRule type="colorScale" priority="3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91:T602">
    <cfRule type="colorScale" priority="3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591:W602"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91:X602"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05:K616">
    <cfRule type="colorScale" priority="3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05:O616">
    <cfRule type="colorScale" priority="3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605:N616">
    <cfRule type="colorScale" priority="3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05:L616">
    <cfRule type="colorScale" priority="3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05:L616">
    <cfRule type="colorScale" priority="3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605:P616">
    <cfRule type="colorScale" priority="3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605:Q616">
    <cfRule type="colorScale" priority="3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605:R616"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05:M616">
    <cfRule type="colorScale" priority="3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05:M616">
    <cfRule type="colorScale" priority="3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05:M616">
    <cfRule type="colorScale" priority="3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605:S616">
    <cfRule type="colorScale" priority="3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05:T616">
    <cfRule type="colorScale" priority="3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605:W616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05:X616"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95:W406">
    <cfRule type="colorScale" priority="3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95:X406"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81:W392"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81:X392"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53:W364">
    <cfRule type="colorScale" priority="3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53:X364"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269:W280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69:X280"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85:W196"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5:X196"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01:W112">
    <cfRule type="colorScale" priority="3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01:X112"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09:W420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409:X420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23:W434">
    <cfRule type="colorScale" priority="3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423:X434"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1:W42">
    <cfRule type="colorScale" priority="3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1:X42"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19:K630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19:O630">
    <cfRule type="colorScale" priority="3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619:N630">
    <cfRule type="colorScale" priority="3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19:L630">
    <cfRule type="colorScale" priority="3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19:L630">
    <cfRule type="colorScale" priority="3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619:P630">
    <cfRule type="colorScale" priority="3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619:Q630">
    <cfRule type="colorScale" priority="3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619:R630"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19:M630">
    <cfRule type="colorScale" priority="3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19:M630">
    <cfRule type="colorScale" priority="3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19:M630">
    <cfRule type="colorScale" priority="3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619:S630">
    <cfRule type="colorScale" priority="3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19:T630">
    <cfRule type="colorScale" priority="3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619:W630"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19:X630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33:K644">
    <cfRule type="colorScale" priority="3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33:O644">
    <cfRule type="colorScale" priority="3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633:N644">
    <cfRule type="colorScale" priority="3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33:L644">
    <cfRule type="colorScale" priority="3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33:L644">
    <cfRule type="colorScale" priority="3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633:P644">
    <cfRule type="colorScale" priority="3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633:Q644">
    <cfRule type="colorScale" priority="3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633:R644"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33:M644">
    <cfRule type="colorScale" priority="3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33:M644">
    <cfRule type="colorScale" priority="3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33:M644">
    <cfRule type="colorScale" priority="3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633:S644">
    <cfRule type="colorScale" priority="3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33:T644">
    <cfRule type="colorScale" priority="3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633:W644">
    <cfRule type="colorScale" priority="3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33:X644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47:K658"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47:O658">
    <cfRule type="colorScale" priority="3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647:N658">
    <cfRule type="colorScale" priority="3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47:L658">
    <cfRule type="colorScale" priority="3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47:L658">
    <cfRule type="colorScale" priority="3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647:P658">
    <cfRule type="colorScale" priority="3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647:Q658">
    <cfRule type="colorScale" priority="3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647:R658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47:M658">
    <cfRule type="colorScale" priority="3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47:M658"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47:M658">
    <cfRule type="colorScale" priority="3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647:S658">
    <cfRule type="colorScale" priority="3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47:T658">
    <cfRule type="colorScale" priority="3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647:W658"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47:X658"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61:K672"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61:O672">
    <cfRule type="colorScale" priority="3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661:N672"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61:L672">
    <cfRule type="colorScale" priority="2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61:L672">
    <cfRule type="colorScale" priority="3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661:P672">
    <cfRule type="colorScale" priority="2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661:Q672">
    <cfRule type="colorScale" priority="2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661:R672"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61:M672">
    <cfRule type="colorScale" priority="2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61:M672">
    <cfRule type="colorScale" priority="2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61:M672">
    <cfRule type="colorScale" priority="2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661:S672">
    <cfRule type="colorScale" priority="2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61:T672">
    <cfRule type="colorScale" priority="2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661:W672"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61:X672"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75:K686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75:O686">
    <cfRule type="colorScale" priority="2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675:N686">
    <cfRule type="colorScale" priority="2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75:L686">
    <cfRule type="colorScale" priority="2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75:L686">
    <cfRule type="colorScale" priority="2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675:P686">
    <cfRule type="colorScale" priority="2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675:Q686">
    <cfRule type="colorScale" priority="2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675:R686"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75:M686">
    <cfRule type="colorScale" priority="2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75:M686">
    <cfRule type="colorScale" priority="2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75:M686">
    <cfRule type="colorScale" priority="2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675:S686">
    <cfRule type="colorScale" priority="2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75:T686">
    <cfRule type="colorScale" priority="2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675:W686"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75:X686"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89:K700"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89:O700">
    <cfRule type="colorScale" priority="2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689:N700"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89:L700">
    <cfRule type="colorScale" priority="2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89:L700">
    <cfRule type="colorScale" priority="2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689:P700">
    <cfRule type="colorScale" priority="2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689:Q700">
    <cfRule type="colorScale" priority="2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689:R700"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89:M700">
    <cfRule type="colorScale" priority="2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89:M700"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89:M700">
    <cfRule type="colorScale" priority="2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689:S700">
    <cfRule type="colorScale" priority="2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89:T700">
    <cfRule type="colorScale" priority="2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689:W700">
    <cfRule type="colorScale" priority="2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89:X700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25:W336"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25:X336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03:K714"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03:O714">
    <cfRule type="colorScale" priority="2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703:N714">
    <cfRule type="colorScale" priority="2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03:L714">
    <cfRule type="colorScale" priority="2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03:L714">
    <cfRule type="colorScale" priority="2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703:P714">
    <cfRule type="colorScale" priority="2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703:Q714"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703:R714"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03:M714">
    <cfRule type="colorScale" priority="2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03:M714">
    <cfRule type="colorScale" priority="2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03:M714">
    <cfRule type="colorScale" priority="2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703:S714"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03:T714">
    <cfRule type="colorScale" priority="2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703:W714"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03:X714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17:K728">
    <cfRule type="colorScale" priority="2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17:O728">
    <cfRule type="colorScale" priority="2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717:N728">
    <cfRule type="colorScale" priority="2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17:L728">
    <cfRule type="colorScale" priority="2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17:L728">
    <cfRule type="colorScale" priority="2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717:P728">
    <cfRule type="colorScale" priority="2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717:Q728"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717:R728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17:M728">
    <cfRule type="colorScale" priority="2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17:M728">
    <cfRule type="colorScale" priority="2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17:M728">
    <cfRule type="colorScale" priority="2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717:S728"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17:T728">
    <cfRule type="colorScale" priority="2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717:W728"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17:X728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31:K742"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31:O742">
    <cfRule type="colorScale" priority="2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731:N742">
    <cfRule type="colorScale" priority="2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31:L742">
    <cfRule type="colorScale" priority="2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31:L742">
    <cfRule type="colorScale" priority="2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731:P742">
    <cfRule type="colorScale" priority="2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731:Q742"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731:R742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31:M742">
    <cfRule type="colorScale" priority="2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31:M742"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31:M742">
    <cfRule type="colorScale" priority="2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731:S742"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31:T742">
    <cfRule type="colorScale" priority="2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731:W742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31:X742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45:K756"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45:O756">
    <cfRule type="colorScale" priority="2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745:N756">
    <cfRule type="colorScale" priority="2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45:L756">
    <cfRule type="colorScale" priority="2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45:L756"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745:P756">
    <cfRule type="colorScale" priority="2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745:Q756"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745:R756"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45:M756">
    <cfRule type="colorScale" priority="2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45:M756">
    <cfRule type="colorScale" priority="2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45:M756">
    <cfRule type="colorScale" priority="2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745:S756"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45:T756">
    <cfRule type="colorScale" priority="1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745:W756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45:X756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59:K770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59:O770">
    <cfRule type="colorScale" priority="1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759:N770">
    <cfRule type="colorScale" priority="1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59:L770">
    <cfRule type="colorScale" priority="1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59:L770">
    <cfRule type="colorScale" priority="1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759:P770">
    <cfRule type="colorScale" priority="1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759:Q770"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759:R770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59:M770">
    <cfRule type="colorScale" priority="1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59:M770">
    <cfRule type="colorScale" priority="1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59:M770">
    <cfRule type="colorScale" priority="1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759:S770"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59:T770">
    <cfRule type="colorScale" priority="1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759:W770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59:X770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73:K784">
    <cfRule type="colorScale" priority="1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73:O784"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773:N784"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73:L784">
    <cfRule type="colorScale" priority="1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73:L784">
    <cfRule type="colorScale" priority="1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773:P784">
    <cfRule type="colorScale" priority="1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773:Q784"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773:R784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73:M784">
    <cfRule type="colorScale" priority="1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73:M784">
    <cfRule type="colorScale" priority="1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73:M784">
    <cfRule type="colorScale" priority="1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773:S784"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73:T784"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773:W784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73:X784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87:K798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87:O798">
    <cfRule type="colorScale" priority="1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787:N798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87:L798">
    <cfRule type="colorScale" priority="1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87:L798">
    <cfRule type="colorScale" priority="1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787:P798"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787:Q798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787:R798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87:M798">
    <cfRule type="colorScale" priority="1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87:M798">
    <cfRule type="colorScale" priority="1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87:M798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787:S798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87:T798"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787:W798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87:X798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01:K812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01:O812"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801:N812">
    <cfRule type="colorScale" priority="1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01:L812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01:L812"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801:P812">
    <cfRule type="colorScale" priority="1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801:Q812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01:R812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801:M812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01:M812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01:M812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801:S812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01:T812"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801:W812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801:X812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15:K826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15:O826"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815:N826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15:L826">
    <cfRule type="colorScale" priority="1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15:L826">
    <cfRule type="colorScale" priority="1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815:P826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815:Q826"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15:R826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815:M826"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15:M826">
    <cfRule type="colorScale" priority="1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15:M826">
    <cfRule type="colorScale" priority="1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815:S826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15:T826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815:W826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815:X826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29:K840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29:O840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829:N840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29:L840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29:L840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829:P840"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829:Q840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29:R840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829:M840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29:M840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29:M840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829:S840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29:T840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829:W840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829:X840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43:K854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43:O854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843:N854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43:L854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43:L854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843:P854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843:Q854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43:R854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843:M854">
    <cfRule type="colorScale" priority="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43:M854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43:M854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843:S854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43:T854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843:W854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843:X85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57:K868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57:O868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857:N868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57:L868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57:L868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857:P868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857:Q868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57:R868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857:M868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57:M868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57:M868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857:S868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57:T868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857:W868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857:X868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71:K882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71:O882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871:N882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71:L882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71:L882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871:P882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871:Q882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71:R882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871:M882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71:M882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71:M882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871:S882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71:T882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871:W882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871:X882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85:K896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85:O896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885:N896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85:L896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85:L896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885:P896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885:Q896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85:R896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885:M896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85:M896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85:M896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885:S896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85:T896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885:W896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885:X896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99:K910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99:O910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899:N910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99:L910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99:L910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899:P910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899:Q910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99:R910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899:M910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99:M910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99:M910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899:S910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99:T910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899:W910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899:X910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13:K924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13:O924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913:N924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13:L924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13:L924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913:P924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913:Q924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913:R92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913:M924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13:M924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13:M924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13:S924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913:T924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913:W924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913:X92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27:K93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27:O938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927:N938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27:L938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27:L938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927:P938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927:Q938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927:R93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927:M938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27:M938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27:M93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27:S93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927:T93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927:W93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927:X9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198"/>
  <sheetViews>
    <sheetView topLeftCell="BA109" workbookViewId="0">
      <selection activeCell="BL115" sqref="BL115:BL124"/>
    </sheetView>
  </sheetViews>
  <sheetFormatPr defaultRowHeight="14.4" x14ac:dyDescent="0.3"/>
  <cols>
    <col min="1" max="1" width="3.33203125" customWidth="1"/>
    <col min="2" max="2" width="11.109375" customWidth="1"/>
    <col min="3" max="3" width="10.5546875" bestFit="1" customWidth="1"/>
    <col min="4" max="4" width="12.6640625" customWidth="1"/>
    <col min="5" max="5" width="13.21875" customWidth="1"/>
    <col min="6" max="6" width="12" customWidth="1"/>
    <col min="7" max="10" width="11" customWidth="1"/>
    <col min="11" max="11" width="10.88671875" customWidth="1"/>
    <col min="12" max="14" width="11" customWidth="1"/>
    <col min="15" max="17" width="12.109375" customWidth="1"/>
    <col min="18" max="18" width="11" customWidth="1"/>
    <col min="19" max="19" width="10.88671875" customWidth="1"/>
    <col min="20" max="20" width="11.109375" customWidth="1"/>
    <col min="21" max="27" width="11" customWidth="1"/>
    <col min="28" max="46" width="10.88671875" customWidth="1"/>
    <col min="47" max="52" width="10.44140625" customWidth="1"/>
    <col min="53" max="58" width="11.44140625" customWidth="1"/>
    <col min="59" max="64" width="10.6640625" customWidth="1"/>
  </cols>
  <sheetData>
    <row r="2" spans="2:64" x14ac:dyDescent="0.3">
      <c r="B2" t="s">
        <v>23</v>
      </c>
      <c r="C2" s="29">
        <v>43917</v>
      </c>
      <c r="D2" s="29">
        <v>43918</v>
      </c>
      <c r="E2" s="29">
        <v>43920</v>
      </c>
      <c r="F2" s="29">
        <v>43921</v>
      </c>
      <c r="G2" s="29">
        <v>43922</v>
      </c>
      <c r="H2" s="29">
        <v>43923</v>
      </c>
      <c r="I2" s="29">
        <v>43924</v>
      </c>
      <c r="J2" s="29">
        <v>43925</v>
      </c>
      <c r="K2" s="29">
        <v>43927</v>
      </c>
      <c r="L2" s="29">
        <v>43928</v>
      </c>
      <c r="M2" s="29">
        <v>43929</v>
      </c>
      <c r="N2" s="29">
        <v>43930</v>
      </c>
      <c r="O2" s="29">
        <v>43931</v>
      </c>
      <c r="P2" s="29">
        <v>43932</v>
      </c>
      <c r="Q2" s="29">
        <v>43934</v>
      </c>
      <c r="R2" s="29">
        <v>43935</v>
      </c>
      <c r="S2" s="29">
        <v>43936</v>
      </c>
      <c r="T2" s="29">
        <v>43937</v>
      </c>
      <c r="U2" s="29">
        <v>43938</v>
      </c>
      <c r="V2" s="29">
        <v>43939</v>
      </c>
      <c r="W2" s="29">
        <v>43941</v>
      </c>
      <c r="X2" s="29">
        <v>43942</v>
      </c>
      <c r="Y2" s="29">
        <v>43943</v>
      </c>
      <c r="Z2" s="29">
        <v>43944</v>
      </c>
      <c r="AA2" s="29">
        <v>43945</v>
      </c>
      <c r="AB2" s="29">
        <v>43946</v>
      </c>
      <c r="AC2" s="29">
        <v>43948</v>
      </c>
      <c r="AD2" s="29">
        <v>43949</v>
      </c>
      <c r="AE2" s="29">
        <v>43950</v>
      </c>
      <c r="AF2" s="29">
        <v>43951</v>
      </c>
      <c r="AG2" s="29">
        <v>43952</v>
      </c>
      <c r="AH2" s="29">
        <v>43953</v>
      </c>
      <c r="AI2" s="29">
        <v>43955</v>
      </c>
      <c r="AJ2" s="29">
        <v>43956</v>
      </c>
      <c r="AK2" s="29">
        <v>43957</v>
      </c>
      <c r="AL2" s="29">
        <v>43958</v>
      </c>
      <c r="AM2" s="29">
        <v>43959</v>
      </c>
      <c r="AN2" s="29">
        <v>43960</v>
      </c>
      <c r="AO2" s="29">
        <v>43962</v>
      </c>
      <c r="AP2" s="29">
        <v>43963</v>
      </c>
      <c r="AQ2" s="29">
        <v>43964</v>
      </c>
      <c r="AR2" s="29">
        <v>43965</v>
      </c>
      <c r="AS2" s="29">
        <v>43966</v>
      </c>
      <c r="AT2" s="29">
        <v>43967</v>
      </c>
      <c r="AU2" s="29">
        <v>43969</v>
      </c>
      <c r="AV2" s="29">
        <v>43970</v>
      </c>
      <c r="AW2" s="29">
        <v>43971</v>
      </c>
      <c r="AX2" s="29">
        <v>43972</v>
      </c>
      <c r="AY2" s="29">
        <v>43973</v>
      </c>
      <c r="AZ2" s="29">
        <v>43974</v>
      </c>
      <c r="BA2" s="29">
        <v>43976</v>
      </c>
      <c r="BB2" s="29">
        <v>43977</v>
      </c>
      <c r="BC2" s="29">
        <v>43978</v>
      </c>
      <c r="BD2" s="29">
        <v>43979</v>
      </c>
      <c r="BE2" s="29">
        <v>43980</v>
      </c>
      <c r="BF2" s="29">
        <v>43981</v>
      </c>
      <c r="BG2" s="29">
        <v>43983</v>
      </c>
      <c r="BH2" s="29">
        <v>43984</v>
      </c>
      <c r="BI2" s="29">
        <v>43985</v>
      </c>
      <c r="BJ2" s="29">
        <v>43986</v>
      </c>
      <c r="BK2" s="29">
        <v>43987</v>
      </c>
      <c r="BL2" s="29">
        <v>43988</v>
      </c>
    </row>
    <row r="3" spans="2:64" x14ac:dyDescent="0.3">
      <c r="B3" t="s">
        <v>27</v>
      </c>
      <c r="C3" s="30">
        <f>Data!K3</f>
        <v>2839.5847750865055</v>
      </c>
      <c r="D3" s="30">
        <f>Data!K17</f>
        <v>3265.4671280276816</v>
      </c>
      <c r="E3" s="30">
        <f>Data!K31</f>
        <v>3353.7024221453289</v>
      </c>
      <c r="F3" s="30">
        <f>Data!K45</f>
        <v>3572.9411764705883</v>
      </c>
      <c r="G3" s="30">
        <f>Data!$K59</f>
        <v>4005.121107266436</v>
      </c>
      <c r="H3" s="30">
        <f>Data!$K73</f>
        <v>4341.3840830449826</v>
      </c>
      <c r="I3" s="30">
        <f>Data!$K87</f>
        <v>4619.584775086505</v>
      </c>
      <c r="J3" s="30">
        <f>Data!$K101</f>
        <v>4936.8858131487896</v>
      </c>
      <c r="K3" s="30">
        <f>Data!$K115</f>
        <v>5453.0103806228381</v>
      </c>
      <c r="L3" s="30">
        <f>Data!$K129</f>
        <v>5630.7266435986166</v>
      </c>
      <c r="M3" s="30">
        <f>Data!$K143</f>
        <v>5854.7404844290659</v>
      </c>
      <c r="N3" s="30">
        <f>Data!$K157</f>
        <v>6138.2698961937722</v>
      </c>
      <c r="O3" s="30">
        <f>Data!$K171</f>
        <v>6413.3564013840833</v>
      </c>
      <c r="P3" s="30">
        <f>Data!$K185</f>
        <v>6665.8131487889277</v>
      </c>
      <c r="Q3" s="30">
        <f>Data!$K199</f>
        <v>7489.9653979238756</v>
      </c>
      <c r="R3" s="30">
        <f>Data!$K213</f>
        <v>7825.7439446366789</v>
      </c>
      <c r="S3" s="30">
        <f>Data!$K227</f>
        <v>8241.6608996539799</v>
      </c>
      <c r="T3" s="30">
        <f>Data!$K241</f>
        <v>8864.5674740484428</v>
      </c>
      <c r="U3" s="30">
        <f>Data!$K255</f>
        <v>9480.415224913495</v>
      </c>
      <c r="V3" s="30">
        <f>Data!$K269</f>
        <v>10141.522491349482</v>
      </c>
      <c r="W3" s="30">
        <f>Data!$K283</f>
        <v>11407.612456747405</v>
      </c>
      <c r="X3" s="30">
        <f>Data!$K297</f>
        <v>12053.287197231835</v>
      </c>
      <c r="Y3" s="30">
        <f>Data!$K311</f>
        <v>12770.311418685122</v>
      </c>
      <c r="Z3" s="30">
        <f>Data!$K325</f>
        <v>13477.162629757786</v>
      </c>
      <c r="AA3" s="30">
        <f>Data!$K339</f>
        <v>14328.0276816609</v>
      </c>
      <c r="AB3" s="30">
        <f>Data!$K353</f>
        <v>15060.069204152251</v>
      </c>
      <c r="AC3" s="30">
        <f>Data!$K367</f>
        <v>16760.415224913497</v>
      </c>
      <c r="AD3" s="30">
        <f>Data!$K381</f>
        <v>17511.418685121109</v>
      </c>
      <c r="AE3" s="30">
        <f>Data!$K395</f>
        <v>18311.003460207612</v>
      </c>
      <c r="AF3" s="30">
        <f>Data!$K409</f>
        <v>19205.674740484432</v>
      </c>
      <c r="AG3" s="30">
        <f>Data!$K423</f>
        <v>20349.757785467129</v>
      </c>
      <c r="AH3" s="30">
        <f>Data!$K437</f>
        <v>21478.131487889274</v>
      </c>
      <c r="AI3" s="30">
        <f>Data!$K451</f>
        <v>23671.9723183391</v>
      </c>
      <c r="AJ3" s="30">
        <f>Data!$K465</f>
        <v>24409.273356401387</v>
      </c>
      <c r="AK3" s="30">
        <f>Data!$K479</f>
        <v>25306.228373702423</v>
      </c>
      <c r="AL3" s="30">
        <f>Data!$K493</f>
        <v>26356.678200692044</v>
      </c>
      <c r="AM3" s="30">
        <f>Data!$K507</f>
        <v>27484.359861591696</v>
      </c>
      <c r="AN3" s="30">
        <f>Data!$K521</f>
        <v>28814.948096885815</v>
      </c>
      <c r="AO3" s="30">
        <f>Data!$K535</f>
        <v>31000.968858131488</v>
      </c>
      <c r="AP3" s="30">
        <f>Data!$K549</f>
        <v>31828.442906574397</v>
      </c>
      <c r="AQ3" s="30">
        <f>Data!$K563</f>
        <v>32875.986159169552</v>
      </c>
      <c r="AR3" s="30">
        <f>Data!$K577</f>
        <v>34082.145328719722</v>
      </c>
      <c r="AS3" s="30">
        <f>Data!$K591</f>
        <v>35352.318339100348</v>
      </c>
      <c r="AT3" s="30">
        <f>Data!$K605</f>
        <v>36581.937716262975</v>
      </c>
      <c r="AU3" s="30">
        <f>Data!$K619</f>
        <v>38337.785467128029</v>
      </c>
      <c r="AV3" s="30">
        <f>Data!$K633</f>
        <v>38740.069204152249</v>
      </c>
      <c r="AW3" s="30">
        <f>Data!$K647</f>
        <v>39250.934256055363</v>
      </c>
      <c r="AX3" s="30">
        <f>Data!$K661</f>
        <v>39977.993079584776</v>
      </c>
      <c r="AY3" s="30">
        <f>Data!$K675</f>
        <v>40758.33910034602</v>
      </c>
      <c r="AZ3" s="30">
        <f>Data!$K689</f>
        <v>41521.522491349482</v>
      </c>
      <c r="BA3" s="30">
        <f>Data!$K703</f>
        <v>42874.671280276816</v>
      </c>
      <c r="BB3" s="30">
        <f>Data!$K717</f>
        <v>43558.062283737025</v>
      </c>
      <c r="BC3" s="30">
        <f>Data!$K731</f>
        <v>44605.328719723184</v>
      </c>
      <c r="BD3" s="30">
        <f>Data!$K745</f>
        <v>44605.328719723184</v>
      </c>
      <c r="BE3" s="30">
        <f>Data!$K759</f>
        <v>47106.366782006924</v>
      </c>
      <c r="BF3" s="30">
        <f>Data!$K773</f>
        <v>48534.740484429065</v>
      </c>
      <c r="BG3" s="30">
        <f>Data!$K787</f>
        <v>50707.266435986159</v>
      </c>
      <c r="BH3" s="30">
        <f>Data!$K801</f>
        <v>51762.214532871978</v>
      </c>
      <c r="BI3" s="30">
        <f>Data!$K815</f>
        <v>52975.847750865054</v>
      </c>
      <c r="BJ3" s="30">
        <f>Data!$K829</f>
        <v>54416.816608996545</v>
      </c>
      <c r="BK3" s="30">
        <f>Data!$K843</f>
        <v>55989.826989619381</v>
      </c>
      <c r="BL3" s="30">
        <f>Data!$K857</f>
        <v>57588.788927335641</v>
      </c>
    </row>
    <row r="4" spans="2:64" x14ac:dyDescent="0.3">
      <c r="B4" t="s">
        <v>28</v>
      </c>
      <c r="C4" s="30">
        <f>Data!K4</f>
        <v>4933.8078291814945</v>
      </c>
      <c r="D4" s="30">
        <f>Data!K18</f>
        <v>6268.564650059312</v>
      </c>
      <c r="E4" s="30">
        <f>Data!K32</f>
        <v>7819.0984578884936</v>
      </c>
      <c r="F4" s="30">
        <f>Data!K46</f>
        <v>8676.2752075919343</v>
      </c>
      <c r="G4" s="30">
        <f>Data!$K60</f>
        <v>8951.7200474495858</v>
      </c>
      <c r="H4" s="30">
        <f>Data!$K74</f>
        <v>9420.2846975088978</v>
      </c>
      <c r="I4" s="30">
        <f>Data!$K88</f>
        <v>10415.421115065243</v>
      </c>
      <c r="J4" s="30">
        <f>Data!$K102</f>
        <v>11236.654804270464</v>
      </c>
      <c r="K4" s="30">
        <f>Data!$K116</f>
        <v>12224.792408066431</v>
      </c>
      <c r="L4" s="30">
        <f>Data!$K130</f>
        <v>12692.52669039146</v>
      </c>
      <c r="M4" s="30">
        <f>Data!$K144</f>
        <v>13298.576512455516</v>
      </c>
      <c r="N4" s="30">
        <f>Data!$K158</f>
        <v>13836.892052194544</v>
      </c>
      <c r="O4" s="30">
        <f>Data!$K172</f>
        <v>14023.368920521945</v>
      </c>
      <c r="P4" s="30">
        <f>Data!$K186</f>
        <v>14900.948991696323</v>
      </c>
      <c r="Q4" s="30">
        <f>Data!$K200</f>
        <v>15921.115065243179</v>
      </c>
      <c r="R4" s="30">
        <f>Data!$K214</f>
        <v>16588.967971530248</v>
      </c>
      <c r="S4" s="30">
        <f>Data!$K228</f>
        <v>17292.88256227758</v>
      </c>
      <c r="T4" s="30">
        <f>Data!$K242</f>
        <v>17972.716488730723</v>
      </c>
      <c r="U4" s="30">
        <f>Data!$K256</f>
        <v>18571.411625148281</v>
      </c>
      <c r="V4" s="30">
        <f>Data!$K270</f>
        <v>19185.52787663108</v>
      </c>
      <c r="W4" s="30">
        <f>Data!$K284</f>
        <v>20257.651245551602</v>
      </c>
      <c r="X4" s="30">
        <f>Data!$K298</f>
        <v>20698.695136417558</v>
      </c>
      <c r="Y4" s="30">
        <f>Data!$K312</f>
        <v>21457.532621589562</v>
      </c>
      <c r="Z4" s="30">
        <f>Data!$K326</f>
        <v>21807.829181494664</v>
      </c>
      <c r="AA4" s="30">
        <f>Data!$K340</f>
        <v>21807.829181494664</v>
      </c>
      <c r="AB4" s="30">
        <f>Data!$K354</f>
        <v>22629.300118623963</v>
      </c>
      <c r="AC4" s="30">
        <f>Data!$K368</f>
        <v>24080.901542111507</v>
      </c>
      <c r="AD4" s="30">
        <f>Data!$K382</f>
        <v>24080.901542111507</v>
      </c>
      <c r="AE4" s="30">
        <f>Data!$K396</f>
        <v>25121.708185053383</v>
      </c>
      <c r="AF4" s="30">
        <f>Data!$K410</f>
        <v>25513.285883748518</v>
      </c>
      <c r="AG4" s="30">
        <f>Data!$K424</f>
        <v>26147.212336892055</v>
      </c>
      <c r="AH4" s="30">
        <f>Data!$K438</f>
        <v>26147.212336892055</v>
      </c>
      <c r="AI4" s="30">
        <f>Data!$K452</f>
        <v>27951.245551601423</v>
      </c>
      <c r="AJ4" s="30">
        <f>Data!$K466</f>
        <v>27951.245551601423</v>
      </c>
      <c r="AK4" s="30">
        <f>Data!$K480</f>
        <v>27951.245551601423</v>
      </c>
      <c r="AL4" s="30">
        <f>Data!$K494</f>
        <v>27951.245551601423</v>
      </c>
      <c r="AM4" s="30">
        <f>Data!$K508</f>
        <v>31566.903914590748</v>
      </c>
      <c r="AN4" s="30">
        <f>Data!$K522</f>
        <v>33377.224199288255</v>
      </c>
      <c r="AO4" s="30">
        <f>Data!$K536</f>
        <v>33377.224199288255</v>
      </c>
      <c r="AP4" s="30">
        <f>Data!$K550</f>
        <v>33377.224199288255</v>
      </c>
      <c r="AQ4" s="30">
        <f>Data!$K564</f>
        <v>35976.512455516015</v>
      </c>
      <c r="AR4" s="30">
        <f>Data!$K578</f>
        <v>35974.139976275212</v>
      </c>
      <c r="AS4" s="30">
        <f>Data!$K592</f>
        <v>35976.512455516015</v>
      </c>
      <c r="AT4" s="30">
        <f>Data!$K606</f>
        <v>38878.29181494662</v>
      </c>
      <c r="AU4" s="30">
        <f>Data!$K620</f>
        <v>39906.524317912219</v>
      </c>
      <c r="AV4" s="30">
        <f>Data!$K634</f>
        <v>39906.524317912219</v>
      </c>
      <c r="AW4" s="30">
        <f>Data!$K648</f>
        <v>41462.752075919336</v>
      </c>
      <c r="AX4" s="30">
        <f>Data!$K662</f>
        <v>44049.940688018978</v>
      </c>
      <c r="AY4" s="30">
        <f>Data!$K676</f>
        <v>44049.940688018978</v>
      </c>
      <c r="AZ4" s="30">
        <f>Data!$K690</f>
        <v>46338.315539739029</v>
      </c>
      <c r="BA4" s="30">
        <f>Data!$K704</f>
        <v>46338.315539739029</v>
      </c>
      <c r="BB4" s="30">
        <f>Data!$K718</f>
        <v>47875.68208778173</v>
      </c>
      <c r="BC4" s="30">
        <f>Data!$K732</f>
        <v>47875.68208778173</v>
      </c>
      <c r="BD4" s="30">
        <f>Data!$K746</f>
        <v>48088.374851720051</v>
      </c>
      <c r="BE4" s="30">
        <f>Data!$K760</f>
        <v>49731.198102016606</v>
      </c>
      <c r="BF4" s="30">
        <f>Data!$K774</f>
        <v>51594.306049822066</v>
      </c>
      <c r="BG4" s="30">
        <f>Data!$K788</f>
        <v>53211.862396204036</v>
      </c>
      <c r="BH4" s="30">
        <f>Data!$K802</f>
        <v>54333.807829181496</v>
      </c>
      <c r="BI4" s="30">
        <f>Data!$K816</f>
        <v>55478.05456702254</v>
      </c>
      <c r="BJ4" s="30">
        <f>Data!$K830</f>
        <v>56954.211150652431</v>
      </c>
      <c r="BK4" s="30">
        <f>Data!$K844</f>
        <v>58067.259786476869</v>
      </c>
      <c r="BL4" s="30">
        <f>Data!$K858</f>
        <v>58683.511269276394</v>
      </c>
    </row>
    <row r="5" spans="2:64" x14ac:dyDescent="0.3">
      <c r="B5" t="str">
        <f>Data!B5</f>
        <v>BC</v>
      </c>
      <c r="C5" s="30">
        <f>Data!K5</f>
        <v>6884.6613545816735</v>
      </c>
      <c r="D5" s="30">
        <f>Data!K19</f>
        <v>7299.4023904382475</v>
      </c>
      <c r="E5" s="30">
        <f>Data!K33</f>
        <v>8372.1115537848618</v>
      </c>
      <c r="F5" s="30">
        <f>Data!K47</f>
        <v>8372.1115537848618</v>
      </c>
      <c r="G5" s="30">
        <f>Data!$K61</f>
        <v>8611.3545816733076</v>
      </c>
      <c r="H5" s="30">
        <f>Data!$K75</f>
        <v>8892.2310756972111</v>
      </c>
      <c r="I5" s="30">
        <f>Data!$K89</f>
        <v>9432.6693227091637</v>
      </c>
      <c r="J5" s="30">
        <f>Data!$K103</f>
        <v>9662.9482071713155</v>
      </c>
      <c r="K5" s="30">
        <f>Data!$K117</f>
        <v>9662.9482071713155</v>
      </c>
      <c r="L5" s="30">
        <f>Data!$K131</f>
        <v>10029.880478087651</v>
      </c>
      <c r="M5" s="30">
        <f>Data!$K145</f>
        <v>10243.625498007968</v>
      </c>
      <c r="N5" s="30">
        <f>Data!$K159</f>
        <v>10440.637450199205</v>
      </c>
      <c r="O5" s="30">
        <f>Data!$K173</f>
        <v>10440.637450199205</v>
      </c>
      <c r="P5" s="30">
        <f>Data!$K187</f>
        <v>10658.366533864542</v>
      </c>
      <c r="Q5" s="30">
        <f>Data!$K201</f>
        <v>11183.66533864542</v>
      </c>
      <c r="R5" s="30">
        <f>Data!$K215</f>
        <v>11183.66533864542</v>
      </c>
      <c r="S5" s="30">
        <f>Data!$K229</f>
        <v>11207.569721115538</v>
      </c>
      <c r="T5" s="30">
        <f>Data!$K243</f>
        <v>11789.840637450201</v>
      </c>
      <c r="U5" s="30">
        <f>Data!$K257</f>
        <v>11789.840637450201</v>
      </c>
      <c r="V5" s="30">
        <f>Data!$K271</f>
        <v>12085.258964143428</v>
      </c>
      <c r="W5" s="30">
        <f>Data!$K285</f>
        <v>12085.258964143428</v>
      </c>
      <c r="X5" s="30">
        <f>Data!$K299</f>
        <v>12823.70517928287</v>
      </c>
      <c r="Y5" s="30">
        <f>Data!$K313</f>
        <v>13056.772908366534</v>
      </c>
      <c r="Z5" s="30">
        <f>Data!$K327</f>
        <v>13342.031872509961</v>
      </c>
      <c r="AA5" s="30">
        <f>Data!$K341</f>
        <v>14226.095617529882</v>
      </c>
      <c r="AB5" s="30">
        <f>Data!$K355</f>
        <v>14226.095617529882</v>
      </c>
      <c r="AC5" s="30">
        <f>Data!$K369</f>
        <v>15670.318725099603</v>
      </c>
      <c r="AD5" s="30">
        <f>Data!$K383</f>
        <v>16113.147410358568</v>
      </c>
      <c r="AE5" s="30">
        <f>Data!$K397</f>
        <v>16618.525896414343</v>
      </c>
      <c r="AF5" s="30">
        <f>Data!$K411</f>
        <v>16618.525896414343</v>
      </c>
      <c r="AG5" s="30">
        <f>Data!$K425</f>
        <v>17137.450199203187</v>
      </c>
      <c r="AH5" s="30">
        <f>Data!$K439</f>
        <v>17663.346613545818</v>
      </c>
      <c r="AI5" s="30">
        <f>Data!$K453</f>
        <v>19226.494023904383</v>
      </c>
      <c r="AJ5" s="30">
        <f>Data!$K467</f>
        <v>19561.55378486056</v>
      </c>
      <c r="AK5" s="30">
        <f>Data!$K481</f>
        <v>19938.844621513945</v>
      </c>
      <c r="AL5" s="30">
        <f>Data!$K495</f>
        <v>20460.159362549803</v>
      </c>
      <c r="AM5" s="30">
        <f>Data!$K509</f>
        <v>20915.139442231077</v>
      </c>
      <c r="AN5" s="30">
        <f>Data!$K523</f>
        <v>20915.139442231077</v>
      </c>
      <c r="AO5" s="30">
        <f>Data!$K537</f>
        <v>22210.756972111554</v>
      </c>
      <c r="AP5" s="30">
        <f>Data!$K551</f>
        <v>22508.764940239045</v>
      </c>
      <c r="AQ5" s="30">
        <f>Data!$K565</f>
        <v>22860.756972111554</v>
      </c>
      <c r="AR5" s="30">
        <f>Data!$K579</f>
        <v>23259.760956175302</v>
      </c>
      <c r="AS5" s="30">
        <f>Data!$K593</f>
        <v>23571.713147410359</v>
      </c>
      <c r="AT5" s="30">
        <f>Data!$K607</f>
        <v>23572.709163346615</v>
      </c>
      <c r="AU5" s="30">
        <f>Data!$K621</f>
        <v>23572.709163346615</v>
      </c>
      <c r="AV5" s="30">
        <f>Data!$K635</f>
        <v>23572.709163346615</v>
      </c>
      <c r="AW5" s="30">
        <f>Data!$K649</f>
        <v>25146.613545816734</v>
      </c>
      <c r="AX5" s="30">
        <f>Data!$K663</f>
        <v>25455.378486055779</v>
      </c>
      <c r="AY5" s="30">
        <f>Data!$K677</f>
        <v>25455.378486055779</v>
      </c>
      <c r="AZ5" s="30">
        <f>Data!$K691</f>
        <v>25884.860557768927</v>
      </c>
      <c r="BA5" s="30">
        <f>Data!$K705</f>
        <v>26930.278884462154</v>
      </c>
      <c r="BB5" s="30">
        <f>Data!$K719</f>
        <v>26930.278884462154</v>
      </c>
      <c r="BC5" s="30">
        <f>Data!$K733</f>
        <v>27498.605577689246</v>
      </c>
      <c r="BD5" s="30">
        <f>Data!$K747</f>
        <v>27915.537848605582</v>
      </c>
      <c r="BE5" s="30">
        <f>Data!$K761</f>
        <v>27915.537848605582</v>
      </c>
      <c r="BF5" s="30">
        <f>Data!$K775</f>
        <v>28165.737051792832</v>
      </c>
      <c r="BG5" s="30">
        <f>Data!$K789</f>
        <v>28165.737051792832</v>
      </c>
      <c r="BH5" s="30">
        <f>Data!$K803</f>
        <v>29433.66533864542</v>
      </c>
      <c r="BI5" s="30">
        <f>Data!$K817</f>
        <v>29776.294820717136</v>
      </c>
      <c r="BJ5" s="30">
        <f>Data!$K831</f>
        <v>29776.294820717136</v>
      </c>
      <c r="BK5" s="30">
        <f>Data!$K845</f>
        <v>29433.66533864542</v>
      </c>
      <c r="BL5" s="30">
        <f>Data!$K859</f>
        <v>30549.601593625499</v>
      </c>
    </row>
    <row r="6" spans="2:64" x14ac:dyDescent="0.3">
      <c r="B6" t="s">
        <v>29</v>
      </c>
      <c r="C6" s="30">
        <f>Data!K6</f>
        <v>8459.9078341013828</v>
      </c>
      <c r="D6" s="30">
        <f>Data!K20</f>
        <v>9941.9354838709678</v>
      </c>
      <c r="E6" s="30">
        <f>Data!K34</f>
        <v>10368.433179723503</v>
      </c>
      <c r="F6" s="30">
        <f>Data!K48</f>
        <v>11219.354838709678</v>
      </c>
      <c r="G6" s="30">
        <f>Data!$K62</f>
        <v>12244.47004608295</v>
      </c>
      <c r="H6" s="30">
        <f>Data!$K76</f>
        <v>13155.760368663596</v>
      </c>
      <c r="I6" s="30">
        <f>Data!$K90</f>
        <v>13155.760368663596</v>
      </c>
      <c r="J6" s="30">
        <f>Data!$K104</f>
        <v>14771.428571428572</v>
      </c>
      <c r="K6" s="30">
        <f>Data!$K118</f>
        <v>14932.258064516129</v>
      </c>
      <c r="L6" s="30">
        <f>Data!$K132</f>
        <v>15464.746543778803</v>
      </c>
      <c r="M6" s="30">
        <f>Data!$K146</f>
        <v>15843.778801843318</v>
      </c>
      <c r="N6" s="30">
        <f>Data!$K160</f>
        <v>16185.94470046083</v>
      </c>
      <c r="O6" s="30">
        <f>Data!$K174</f>
        <v>16185.94470046083</v>
      </c>
      <c r="P6" s="30">
        <f>Data!$K188</f>
        <v>16185.94470046083</v>
      </c>
      <c r="Q6" s="30">
        <f>Data!$K202</f>
        <v>18382.718894009216</v>
      </c>
      <c r="R6" s="30">
        <f>Data!$K216</f>
        <v>19043.548387096776</v>
      </c>
      <c r="S6" s="30">
        <f>Data!$K230</f>
        <v>19700.921658986175</v>
      </c>
      <c r="T6" s="30">
        <f>Data!$K244</f>
        <v>19700.921658986175</v>
      </c>
      <c r="U6" s="30">
        <f>Data!$K258</f>
        <v>21383.640552995392</v>
      </c>
      <c r="V6" s="30">
        <f>Data!$K272</f>
        <v>22326.497695852537</v>
      </c>
      <c r="W6" s="30">
        <f>Data!$K286</f>
        <v>24266.589861751152</v>
      </c>
      <c r="X6" s="30">
        <f>Data!$K300</f>
        <v>25118.663594470047</v>
      </c>
      <c r="Y6" s="30">
        <f>Data!$K314</f>
        <v>26151.843317972351</v>
      </c>
      <c r="Z6" s="30">
        <f>Data!$K328</f>
        <v>26151.843317972351</v>
      </c>
      <c r="AA6" s="30">
        <f>Data!$K342</f>
        <v>28213.594470046082</v>
      </c>
      <c r="AB6" s="30">
        <f>Data!$K356</f>
        <v>29300.691244239631</v>
      </c>
      <c r="AC6" s="30">
        <f>Data!$K370</f>
        <v>31207.83410138249</v>
      </c>
      <c r="AD6" s="30">
        <f>Data!$K384</f>
        <v>31954.147465437789</v>
      </c>
      <c r="AE6" s="30">
        <f>Data!$K398</f>
        <v>33153.456221198161</v>
      </c>
      <c r="AF6" s="30">
        <f>Data!$K412</f>
        <v>34317.281105990784</v>
      </c>
      <c r="AG6" s="30">
        <f>Data!$K426</f>
        <v>35429.953917050691</v>
      </c>
      <c r="AH6" s="30">
        <f>Data!$K440</f>
        <v>36294.239631336408</v>
      </c>
      <c r="AI6" s="30">
        <f>Data!$K454</f>
        <v>37965.898617511521</v>
      </c>
      <c r="AJ6" s="30">
        <f>Data!$K468</f>
        <v>38482.718894009216</v>
      </c>
      <c r="AK6" s="30">
        <f>Data!$K482</f>
        <v>39287.788018433181</v>
      </c>
      <c r="AL6" s="30">
        <f>Data!$K496</f>
        <v>40167.511520737331</v>
      </c>
      <c r="AM6" s="30">
        <f>Data!$K510</f>
        <v>40912.211981566819</v>
      </c>
      <c r="AN6" s="30">
        <f>Data!$K524</f>
        <v>41729.72350230415</v>
      </c>
      <c r="AO6" s="30">
        <f>Data!$K538</f>
        <v>43354.147465437789</v>
      </c>
      <c r="AP6" s="30">
        <f>Data!$K552</f>
        <v>44085.253456221202</v>
      </c>
      <c r="AQ6" s="30">
        <f>Data!$K566</f>
        <v>45023.502304147463</v>
      </c>
      <c r="AR6" s="30">
        <f>Data!$K580</f>
        <v>46133.179723502304</v>
      </c>
      <c r="AS6" s="30">
        <f>Data!$K594</f>
        <v>47171.198156682032</v>
      </c>
      <c r="AT6" s="30">
        <f>Data!$K608</f>
        <v>48229.72350230415</v>
      </c>
      <c r="AU6" s="30">
        <f>Data!$K622</f>
        <v>49893.087557603685</v>
      </c>
      <c r="AV6" s="30">
        <f>Data!$K636</f>
        <v>50452.534562211986</v>
      </c>
      <c r="AW6" s="30">
        <f>Data!$K650</f>
        <v>51053.225806451614</v>
      </c>
      <c r="AX6" s="30">
        <f>Data!$K664</f>
        <v>51978.801843317975</v>
      </c>
      <c r="AY6" s="30">
        <f>Data!$K678</f>
        <v>52717.281105990784</v>
      </c>
      <c r="AZ6" s="30">
        <f>Data!$K692</f>
        <v>53634.562211981567</v>
      </c>
      <c r="BA6" s="30">
        <f>Data!$K706</f>
        <v>55253.225806451614</v>
      </c>
      <c r="BB6" s="30">
        <f>Data!$K720</f>
        <v>55940.322580645166</v>
      </c>
      <c r="BC6" s="30">
        <f>Data!$K734</f>
        <v>56670.276497695857</v>
      </c>
      <c r="BD6" s="30">
        <f>Data!$K748</f>
        <v>56670.276497695857</v>
      </c>
      <c r="BE6" s="30">
        <f>Data!$K762</f>
        <v>58400.691244239635</v>
      </c>
      <c r="BF6" s="30">
        <f>Data!$K776</f>
        <v>59268.894009216594</v>
      </c>
      <c r="BG6" s="30">
        <f>Data!$K790</f>
        <v>60616.129032258068</v>
      </c>
      <c r="BH6" s="30">
        <f>Data!$K804</f>
        <v>61359.677419354841</v>
      </c>
      <c r="BI6" s="30">
        <f>Data!$K818</f>
        <v>62511.059907834104</v>
      </c>
      <c r="BJ6" s="30">
        <f>Data!$K832</f>
        <v>63484.792626728115</v>
      </c>
      <c r="BK6" s="30">
        <f>Data!$K846</f>
        <v>64972.119815668208</v>
      </c>
      <c r="BL6" s="30">
        <f>Data!$K860</f>
        <v>64972.119815668208</v>
      </c>
    </row>
    <row r="7" spans="2:64" x14ac:dyDescent="0.3">
      <c r="B7" t="s">
        <v>30</v>
      </c>
      <c r="C7" s="30">
        <f>Data!K7</f>
        <v>4561.0294117647054</v>
      </c>
      <c r="D7" s="30">
        <f>Data!K21</f>
        <v>4561.0294117647054</v>
      </c>
      <c r="E7" s="30">
        <f>Data!K35</f>
        <v>6286.7647058823522</v>
      </c>
      <c r="F7" s="30">
        <f>Data!K49</f>
        <v>6286.7647058823522</v>
      </c>
      <c r="G7" s="30">
        <f>Data!$K63</f>
        <v>7385.2941176470586</v>
      </c>
      <c r="H7" s="30">
        <f>Data!$K77</f>
        <v>8328.6764705882342</v>
      </c>
      <c r="I7" s="30">
        <f>Data!$K91</f>
        <v>8788.2352941176468</v>
      </c>
      <c r="J7" s="30">
        <f>Data!$K105</f>
        <v>9201.4705882352937</v>
      </c>
      <c r="K7" s="30">
        <f>Data!$K119</f>
        <v>9557.3529411764703</v>
      </c>
      <c r="L7" s="30">
        <f>Data!$K133</f>
        <v>10500</v>
      </c>
      <c r="M7" s="30">
        <f>Data!$K147</f>
        <v>10814.705882352941</v>
      </c>
      <c r="N7" s="30">
        <f>Data!$K161</f>
        <v>11219.85294117647</v>
      </c>
      <c r="O7" s="30">
        <f>Data!$K175</f>
        <v>11926.470588235294</v>
      </c>
      <c r="P7" s="30">
        <f>Data!$K189</f>
        <v>12046.323529411764</v>
      </c>
      <c r="Q7" s="30">
        <f>Data!$K203</f>
        <v>12680.147058823528</v>
      </c>
      <c r="R7" s="30">
        <f>Data!$K217</f>
        <v>13021.323529411764</v>
      </c>
      <c r="S7" s="30">
        <f>Data!$K231</f>
        <v>13163.235294117647</v>
      </c>
      <c r="T7" s="30">
        <f>Data!$K245</f>
        <v>13491.911764705881</v>
      </c>
      <c r="U7" s="30">
        <f>Data!$K259</f>
        <v>13864.705882352941</v>
      </c>
      <c r="V7" s="30">
        <f>Data!$K273</f>
        <v>14112.499999999998</v>
      </c>
      <c r="W7" s="30">
        <f>Data!$K287</f>
        <v>14714.705882352941</v>
      </c>
      <c r="X7" s="30">
        <f>Data!$K301</f>
        <v>14940.441176470587</v>
      </c>
      <c r="Y7" s="30">
        <f>Data!$K315</f>
        <v>15883.088235294117</v>
      </c>
      <c r="Z7" s="30">
        <f>Data!$K329</f>
        <v>15725.735294117645</v>
      </c>
      <c r="AA7" s="30">
        <f>Data!$K343</f>
        <v>16302.941176470587</v>
      </c>
      <c r="AB7" s="30">
        <f>Data!$K357</f>
        <v>16616.176470588234</v>
      </c>
      <c r="AC7" s="30">
        <f>Data!$K371</f>
        <v>17311.029411764706</v>
      </c>
      <c r="AD7" s="30">
        <f>Data!$K385</f>
        <v>17311.029411764706</v>
      </c>
      <c r="AE7" s="30">
        <f>Data!$K399</f>
        <v>17933.088235294115</v>
      </c>
      <c r="AF7" s="30">
        <f>Data!$K413</f>
        <v>18252.941176470587</v>
      </c>
      <c r="AG7" s="30">
        <f>Data!$K427</f>
        <v>18751.470588235294</v>
      </c>
      <c r="AH7" s="30">
        <f>Data!$K441</f>
        <v>19241.911764705881</v>
      </c>
      <c r="AI7" s="30">
        <f>Data!$K455</f>
        <v>20180.882352941175</v>
      </c>
      <c r="AJ7" s="30">
        <f>Data!$K469</f>
        <v>20422.794117647056</v>
      </c>
      <c r="AK7" s="30">
        <f>Data!$K483</f>
        <v>20804.411764705881</v>
      </c>
      <c r="AL7" s="30">
        <f>Data!$K497</f>
        <v>21183.823529411762</v>
      </c>
      <c r="AM7" s="30">
        <f>Data!$K511</f>
        <v>21575.735294117647</v>
      </c>
      <c r="AN7" s="30">
        <f>Data!$K525</f>
        <v>22069.117647058822</v>
      </c>
      <c r="AO7" s="30">
        <f>Data!$K539</f>
        <v>22815.441176470587</v>
      </c>
      <c r="AP7" s="30">
        <f>Data!$K553</f>
        <v>23117.647058823528</v>
      </c>
      <c r="AQ7" s="30">
        <f>Data!$K567</f>
        <v>23489.705882352941</v>
      </c>
      <c r="AR7" s="30">
        <f>Data!$K581</f>
        <v>23708.823529411762</v>
      </c>
      <c r="AS7" s="30">
        <f>Data!$K595</f>
        <v>24297.794117647056</v>
      </c>
      <c r="AT7" s="30">
        <f>Data!$K609</f>
        <v>24965.441176470587</v>
      </c>
      <c r="AU7" s="30">
        <f>Data!$K623</f>
        <v>25882.352941176468</v>
      </c>
      <c r="AV7" s="30">
        <f>Data!$K637</f>
        <v>26160.294117647056</v>
      </c>
      <c r="AW7" s="30">
        <f>Data!$K651</f>
        <v>26338.235294117647</v>
      </c>
      <c r="AX7" s="30">
        <f>Data!$K665</f>
        <v>26766.176470588234</v>
      </c>
      <c r="AY7" s="30">
        <f>Data!$K679</f>
        <v>27405.882352941175</v>
      </c>
      <c r="AZ7" s="30">
        <f>Data!$K693</f>
        <v>27845.588235294115</v>
      </c>
      <c r="BA7" s="30">
        <f>Data!$K707</f>
        <v>28648.529411764703</v>
      </c>
      <c r="BB7" s="30">
        <f>Data!$K721</f>
        <v>28912.499999999996</v>
      </c>
      <c r="BC7" s="30">
        <f>Data!$K735</f>
        <v>29754.411764705881</v>
      </c>
      <c r="BD7" s="30">
        <f>Data!$K749</f>
        <v>30287.499999999996</v>
      </c>
      <c r="BE7" s="30">
        <f>Data!$K763</f>
        <v>31107.352941176468</v>
      </c>
      <c r="BF7" s="30">
        <f>Data!$K777</f>
        <v>31623.529411764703</v>
      </c>
      <c r="BG7" s="30">
        <f>Data!$K791</f>
        <v>32861.76470588235</v>
      </c>
      <c r="BH7" s="30">
        <f>Data!$K805</f>
        <v>33161.029411764706</v>
      </c>
      <c r="BI7" s="30">
        <f>Data!$K819</f>
        <v>33677.941176470587</v>
      </c>
      <c r="BJ7" s="30">
        <f>Data!$K833</f>
        <v>34338.970588235294</v>
      </c>
      <c r="BK7" s="30">
        <f>Data!$K847</f>
        <v>34832.352941176468</v>
      </c>
      <c r="BL7" s="30">
        <f>Data!$K861</f>
        <v>34832.352941176468</v>
      </c>
    </row>
    <row r="8" spans="2:64" x14ac:dyDescent="0.3">
      <c r="B8" t="s">
        <v>31</v>
      </c>
      <c r="C8" s="30">
        <f>Data!K8</f>
        <v>6478.6324786324794</v>
      </c>
      <c r="D8" s="30">
        <f>Data!K22</f>
        <v>6478.6324786324794</v>
      </c>
      <c r="E8" s="30">
        <f>Data!K36</f>
        <v>8248.7179487179492</v>
      </c>
      <c r="F8" s="30">
        <f>Data!K50</f>
        <v>8770.0854700854707</v>
      </c>
      <c r="G8" s="30">
        <f>Data!$K64</f>
        <v>8998.2905982905995</v>
      </c>
      <c r="H8" s="30">
        <f>Data!$K78</f>
        <v>9739.3162393162402</v>
      </c>
      <c r="I8" s="30">
        <f>Data!$K92</f>
        <v>10352.136752136752</v>
      </c>
      <c r="J8" s="30">
        <f>Data!$K106</f>
        <v>10829.05982905983</v>
      </c>
      <c r="K8" s="30">
        <f>Data!$K120</f>
        <v>12117.948717948719</v>
      </c>
      <c r="L8" s="30">
        <f>Data!$K134</f>
        <v>12625.641025641027</v>
      </c>
      <c r="M8" s="30">
        <f>Data!$K148</f>
        <v>13351.282051282053</v>
      </c>
      <c r="N8" s="30">
        <f>Data!$K162</f>
        <v>13725.641025641027</v>
      </c>
      <c r="O8" s="30">
        <f>Data!$K176</f>
        <v>15071.794871794873</v>
      </c>
      <c r="P8" s="30">
        <f>Data!$K190</f>
        <v>15767.521367521369</v>
      </c>
      <c r="Q8" s="30">
        <f>Data!$K204</f>
        <v>16755.555555555558</v>
      </c>
      <c r="R8" s="30">
        <f>Data!$K218</f>
        <v>17335.042735042734</v>
      </c>
      <c r="S8" s="30">
        <f>Data!$K232</f>
        <v>17869.23076923077</v>
      </c>
      <c r="T8" s="30">
        <f>Data!$K246</f>
        <v>18435.042735042734</v>
      </c>
      <c r="U8" s="30">
        <f>Data!$K260</f>
        <v>18980.341880341883</v>
      </c>
      <c r="V8" s="30">
        <f>Data!$K274</f>
        <v>19736.752136752137</v>
      </c>
      <c r="W8" s="30">
        <f>Data!$K288</f>
        <v>20864.957264957266</v>
      </c>
      <c r="X8" s="30">
        <f>Data!$K302</f>
        <v>21205.982905982906</v>
      </c>
      <c r="Y8" s="30">
        <f>Data!$K316</f>
        <v>21641.880341880344</v>
      </c>
      <c r="Z8" s="30">
        <f>Data!$K330</f>
        <v>22112.820512820515</v>
      </c>
      <c r="AA8" s="30">
        <f>Data!$K344</f>
        <v>21868.37606837607</v>
      </c>
      <c r="AB8" s="30">
        <f>Data!$K358</f>
        <v>23275.213675213676</v>
      </c>
      <c r="AC8" s="30">
        <f>Data!$K372</f>
        <v>24184.615384615387</v>
      </c>
      <c r="AD8" s="30">
        <f>Data!$K386</f>
        <v>24471.794871794875</v>
      </c>
      <c r="AE8" s="30">
        <f>Data!$K400</f>
        <v>24876.923076923078</v>
      </c>
      <c r="AF8" s="30">
        <f>Data!$K414</f>
        <v>25335.042735042738</v>
      </c>
      <c r="AG8" s="30">
        <f>Data!$K428</f>
        <v>25946.153846153848</v>
      </c>
      <c r="AH8" s="30">
        <f>Data!$K442</f>
        <v>26363.247863247863</v>
      </c>
      <c r="AI8" s="30">
        <f>Data!$K456</f>
        <v>27635.897435897437</v>
      </c>
      <c r="AJ8" s="30">
        <f>Data!$K470</f>
        <v>28137.60683760684</v>
      </c>
      <c r="AK8" s="30">
        <f>Data!$K484</f>
        <v>28710.256410256414</v>
      </c>
      <c r="AL8" s="30">
        <f>Data!$K498</f>
        <v>29368.37606837607</v>
      </c>
      <c r="AM8" s="30">
        <f>Data!$K512</f>
        <v>30064.957264957266</v>
      </c>
      <c r="AN8" s="30">
        <f>Data!$K526</f>
        <v>30869.23076923077</v>
      </c>
      <c r="AO8" s="30">
        <f>Data!$K540</f>
        <v>31999.145299145301</v>
      </c>
      <c r="AP8" s="30">
        <f>Data!$K554</f>
        <v>32217.948717948719</v>
      </c>
      <c r="AQ8" s="30">
        <f>Data!$K568</f>
        <v>32612.820512820515</v>
      </c>
      <c r="AR8" s="30">
        <f>Data!$K582</f>
        <v>33100.854700854703</v>
      </c>
      <c r="AS8" s="30">
        <f>Data!$K596</f>
        <v>33100.854700854703</v>
      </c>
      <c r="AT8" s="30">
        <f>Data!$K610</f>
        <v>34270.940170940172</v>
      </c>
      <c r="AU8" s="30">
        <f>Data!$K624</f>
        <v>34270.940170940172</v>
      </c>
      <c r="AV8" s="30">
        <f>Data!$K638</f>
        <v>35560.683760683765</v>
      </c>
      <c r="AW8" s="30">
        <f>Data!$K652</f>
        <v>35855.555555555555</v>
      </c>
      <c r="AX8" s="30">
        <f>Data!$K666</f>
        <v>36276.068376068375</v>
      </c>
      <c r="AY8" s="30">
        <f>Data!$K680</f>
        <v>36617.948717948719</v>
      </c>
      <c r="AZ8" s="30">
        <f>Data!$K694</f>
        <v>37110.256410256414</v>
      </c>
      <c r="BA8" s="30">
        <f>Data!$K708</f>
        <v>37873.504273504273</v>
      </c>
      <c r="BB8" s="30">
        <f>Data!$K722</f>
        <v>38102.564102564102</v>
      </c>
      <c r="BC8" s="30">
        <f>Data!$K736</f>
        <v>38562.393162393164</v>
      </c>
      <c r="BD8" s="30">
        <f>Data!$K750</f>
        <v>39204.273504273508</v>
      </c>
      <c r="BE8" s="30">
        <f>Data!$K764</f>
        <v>39704.273504273508</v>
      </c>
      <c r="BF8" s="30">
        <f>Data!$K778</f>
        <v>40268.37606837607</v>
      </c>
      <c r="BG8" s="30">
        <f>Data!$K792</f>
        <v>41258.119658119664</v>
      </c>
      <c r="BH8" s="30">
        <f>Data!$K806</f>
        <v>41532.478632478633</v>
      </c>
      <c r="BI8" s="30">
        <f>Data!$K820</f>
        <v>41993.162393162398</v>
      </c>
      <c r="BJ8" s="30">
        <f>Data!$K834</f>
        <v>41993.162393162398</v>
      </c>
      <c r="BK8" s="30">
        <f>Data!$K848</f>
        <v>41993.162393162398</v>
      </c>
      <c r="BL8" s="30">
        <f>Data!$K862</f>
        <v>41993.162393162398</v>
      </c>
    </row>
    <row r="9" spans="2:64" x14ac:dyDescent="0.3">
      <c r="B9" t="s">
        <v>26</v>
      </c>
      <c r="C9" s="30">
        <f>(Data!G9+Data!G10+Data!G11)/(Data!D9+Data!D10+Data!D11)</f>
        <v>3230.037017451084</v>
      </c>
      <c r="D9" s="30">
        <f>(Data!G23+Data!G24+Data!G25)/(Data!D9+Data!D10+Data!D11)</f>
        <v>3491.274457958752</v>
      </c>
      <c r="E9" s="30">
        <f>(Data!G37+Data!G38+Data!G39)/(Data!D9+Data!D10+Data!D11)</f>
        <v>4851.93019566367</v>
      </c>
      <c r="F9" s="30">
        <f>(Data!G51+Data!G52+Data!G53)/(Data!D9+Data!D10+Data!D11)</f>
        <v>5278.688524590164</v>
      </c>
      <c r="G9" s="30">
        <f>(Data!$G65+Data!$G66+Data!$G67)/(Data!$D9+Data!$D10+Data!$D11)</f>
        <v>6151.2427287149658</v>
      </c>
      <c r="H9" s="30">
        <f>(Data!$G79+Data!$G80+Data!$G81)/(Data!$D9+Data!$D10+Data!$D11)</f>
        <v>6936.5415124272868</v>
      </c>
      <c r="I9" s="30">
        <f>(Data!$G93+Data!$G94+Data!$G95)/(Data!$D9+Data!$D10+Data!$D11)</f>
        <v>7639.3442622950815</v>
      </c>
      <c r="J9" s="30">
        <f>(Data!$G107+Data!$G108+Data!$G109)/(Data!$D9+Data!$D10+Data!$D11)</f>
        <v>8340.5605499735593</v>
      </c>
      <c r="K9" s="30">
        <f>(Data!$G121+Data!$G122+Data!$G123)/(Data!$D9+Data!$D10+Data!$D11)</f>
        <v>9298.2548915917505</v>
      </c>
      <c r="L9" s="30">
        <f>(Data!$G135+Data!$G136+Data!$G137)/(Data!$D9+Data!$D10+Data!$D11)</f>
        <v>9796.4040190375454</v>
      </c>
      <c r="M9" s="30">
        <f>(Data!$G149+Data!$G150+Data!$G151)/(Data!$D9+Data!$D10+Data!$D11)</f>
        <v>10427.815970386038</v>
      </c>
      <c r="N9" s="30">
        <f>(Data!$G163+Data!$G164+Data!$G165)/(Data!$D9+Data!$D10+Data!$D11)</f>
        <v>11163.405605499736</v>
      </c>
      <c r="O9" s="30">
        <f>(Data!$G177+Data!$G178+Data!$G179)/(Data!$D9+Data!$D10+Data!$D11)</f>
        <v>11545.74299312533</v>
      </c>
      <c r="P9" s="30">
        <f>(Data!$G191+Data!$G192+Data!$G193)/(Data!$D9+Data!$D10+Data!$D11)</f>
        <v>11961.924907456372</v>
      </c>
      <c r="Q9" s="30">
        <f>(Data!$G205+Data!$G206+Data!$G207)/(Data!$D9+Data!$D10+Data!$D11)</f>
        <v>13585.933368588048</v>
      </c>
      <c r="R9" s="30">
        <f>(Data!$G219+Data!$G220+Data!$G221)/(Data!$D9+Data!$D10+Data!$D11)</f>
        <v>14639.873083024855</v>
      </c>
      <c r="S9" s="30">
        <f>(Data!$G233+Data!$G234+Data!$G235)/(Data!$D9+Data!$D10+Data!$D11)</f>
        <v>15255.420412480169</v>
      </c>
      <c r="T9" s="30">
        <f>(Data!$G247+Data!$G248+Data!$G249)/(Data!$D9+Data!$D10+Data!$D11)</f>
        <v>16031.200423056584</v>
      </c>
      <c r="U9" s="30">
        <f>(Data!$G261+Data!$G262+Data!$G263)/(Data!$D9+Data!$D10+Data!$D11)</f>
        <v>17069.804336329984</v>
      </c>
      <c r="V9" s="30">
        <f>(Data!$G275+Data!$G276+Data!$G277)/(Data!$D9+Data!$D10+Data!$D11)</f>
        <v>17755.156002115284</v>
      </c>
      <c r="W9" s="30">
        <f>(Data!$G289+Data!$G290+Data!$G291)/(Data!$D9+Data!$D10+Data!$D11)</f>
        <v>18949.233209941831</v>
      </c>
      <c r="X9" s="30">
        <f>(Data!$G303+Data!$G304+Data!$G305)/(Data!$D9+Data!$D10+Data!$D11)</f>
        <v>19367.001586462189</v>
      </c>
      <c r="Y9" s="30">
        <f>(Data!$G317+Data!$G318+Data!$G319)/(Data!$D9+Data!$D10+Data!$D11)</f>
        <v>19995.769434161819</v>
      </c>
      <c r="Z9" s="30">
        <f>(Data!$G331+Data!$G332+Data!$G333)/(Data!$D9+Data!$D10+Data!$D11)</f>
        <v>20684.822845055525</v>
      </c>
      <c r="AA9" s="30">
        <f>(Data!$G345+Data!$G346+Data!$G347)/(Data!$D9+Data!$D10+Data!$D11)</f>
        <v>21114.754098360656</v>
      </c>
      <c r="AB9" s="30">
        <f>(Data!$G359+Data!$G360+Data!$G361)/(Data!$D9+Data!$D10+Data!$D11)</f>
        <v>21462.71813855103</v>
      </c>
      <c r="AC9" s="30">
        <f>(Data!$G373+Data!$G374+Data!$G375)/(Data!$D9+Data!$D10+Data!$D11)</f>
        <v>22803.278688524591</v>
      </c>
      <c r="AD9" s="30">
        <f>(Data!$G387+Data!$G388+Data!$G389)/(Data!$D9+Data!$D10+Data!$D11)</f>
        <v>23166.0497091486</v>
      </c>
      <c r="AE9" s="30">
        <f>(Data!$G401+Data!$G402+Data!$G403)/(Data!$D9+Data!$D10+Data!$D11)</f>
        <v>23782.125859333686</v>
      </c>
      <c r="AF9" s="30">
        <f>(Data!$G415+Data!$G416+Data!$G417)/(Data!$D9+Data!$D10+Data!$D11)</f>
        <v>24224.219989423586</v>
      </c>
      <c r="AG9" s="30">
        <f>(Data!$G429+Data!$G430+Data!$G431)/(Data!$D9+Data!$D10+Data!$D11)</f>
        <v>25139.608672659968</v>
      </c>
      <c r="AH9" s="30">
        <f>(Data!$G443+Data!$G444+Data!$G445)/(Data!$D9+Data!$D10+Data!$D11)</f>
        <v>25675.304071919618</v>
      </c>
      <c r="AI9" s="30">
        <f>(Data!$G457+Data!$G458+Data!$G459)/(Data!$D9+Data!$D10+Data!$D11)</f>
        <v>26620.835536753042</v>
      </c>
      <c r="AJ9" s="30">
        <f>(Data!$G471+Data!$G472+Data!$G473)/(Data!$D9+Data!$D10+Data!$D11)</f>
        <v>27032.258064516129</v>
      </c>
      <c r="AK9" s="30">
        <f>(Data!$G485+Data!$G486+Data!$G487)/(Data!$D9+Data!$D10+Data!$D11)</f>
        <v>27708.090957165521</v>
      </c>
      <c r="AL9" s="30">
        <f>(Data!$G499+Data!$G500+Data!$G501)/(Data!$D9+Data!$D10+Data!$D11)</f>
        <v>28313.590692755155</v>
      </c>
      <c r="AM9" s="30">
        <f>(Data!$G513+Data!$G514+Data!$G515)/(Data!$D9+Data!$D10+Data!$D11)</f>
        <v>28920.148069804338</v>
      </c>
      <c r="AN9" s="30">
        <f>(Data!$G527+Data!$G528+Data!$G529)/(Data!$D9+Data!$D10+Data!$D11)</f>
        <v>29319.407720782656</v>
      </c>
      <c r="AO9" s="30">
        <f>(Data!$G541+Data!$G542+Data!$G543)/(Data!$D9+Data!$D10+Data!$D11)</f>
        <v>30147.012162876785</v>
      </c>
      <c r="AP9" s="30">
        <f>(Data!$G555+Data!$G556+Data!$G557)/(Data!$D9+Data!$D10+Data!$D11)</f>
        <v>30492.332099418298</v>
      </c>
      <c r="AQ9" s="30">
        <f>(Data!$G569+Data!$G570+Data!$G571)/(Data!$D9+Data!$D10+Data!$D11)</f>
        <v>31105.235325224749</v>
      </c>
      <c r="AR9" s="30">
        <f>(Data!$G583+Data!$G584+Data!$G585)/(Data!$D9+Data!$D10+Data!$D11)</f>
        <v>31555.261766261236</v>
      </c>
      <c r="AS9" s="30">
        <f>(Data!$G597+Data!$G598+Data!$G599)/(Data!$D9+Data!$D10+Data!$D11)</f>
        <v>32108.937070333155</v>
      </c>
      <c r="AT9" s="30">
        <f>(Data!$G611+Data!$G612+Data!$G613)/(Data!$D9+Data!$D10+Data!$D11)</f>
        <v>32452.670544685352</v>
      </c>
      <c r="AU9" s="30">
        <f>(Data!$G625+Data!$G626+Data!$G627)/(Data!$D9+Data!$D10+Data!$D11)</f>
        <v>33038.07509254363</v>
      </c>
      <c r="AV9" s="30">
        <f>(Data!$G639+Data!$G640+Data!$G641)/(Data!$D9+Data!$D10+Data!$D11)</f>
        <v>33198.836594394503</v>
      </c>
      <c r="AW9" s="30">
        <f>(Data!$G653+Data!$G654+Data!$G655)/(Data!$D9+Data!$D10+Data!$D11)</f>
        <v>33533.051295610785</v>
      </c>
      <c r="AX9" s="30">
        <f>(Data!$G667+Data!$G668+Data!$G669)/(Data!$D9+Data!$D10+Data!$D11)</f>
        <v>33947.117927022737</v>
      </c>
      <c r="AY9" s="30">
        <f>(Data!$G681+Data!$G682+Data!$G683)/(Data!$D9+Data!$D10+Data!$D11)</f>
        <v>34268.112109994712</v>
      </c>
      <c r="AZ9" s="30">
        <f>(Data!$G695+Data!$G696+Data!$G697)/(Data!$D9+Data!$D10+Data!$D11)</f>
        <v>34976.731887890004</v>
      </c>
      <c r="BA9" s="30">
        <f>(Data!$G709+Data!$G710+Data!$G711)/(Data!$D9+Data!$D10+Data!$D11)</f>
        <v>35702.27392913802</v>
      </c>
      <c r="BB9" s="30">
        <f>(Data!$G723+Data!$G724+Data!$G725)/(Data!$D9+Data!$D10+Data!$D11)</f>
        <v>35841.353781068217</v>
      </c>
      <c r="BC9" s="30">
        <f>(Data!$G737+Data!$G738+Data!$G739)/(Data!$D9+Data!$D10+Data!$D11)</f>
        <v>36830.777366472765</v>
      </c>
      <c r="BD9" s="30">
        <f>(Data!$G751+Data!$G752+Data!$G753)/(Data!$D9+Data!$D10+Data!$D11)</f>
        <v>37634.056054997352</v>
      </c>
      <c r="BE9" s="30">
        <f>(Data!$G765+Data!$G766+Data!$G767)/(Data!$D9+Data!$D10+Data!$D11)</f>
        <v>38309.888947646745</v>
      </c>
      <c r="BF9" s="30">
        <f>(Data!$G779+Data!$G780+Data!$G781)/(Data!$D9+Data!$D10+Data!$D11)</f>
        <v>38931.782125859332</v>
      </c>
      <c r="BG9" s="30">
        <f>(Data!$G793+Data!$G794+Data!$G795)/(Data!$D9+Data!$D10+Data!$D11)</f>
        <v>41568.482284505553</v>
      </c>
      <c r="BH9" s="30">
        <f>(Data!$G807+Data!$G808+Data!$G809)/(Data!$D9+Data!$D10+Data!$D11)</f>
        <v>43020.095187731356</v>
      </c>
      <c r="BI9" s="30">
        <f>(Data!$G821+Data!$G822+Data!$G823)/(Data!$D9+Data!$D10+Data!$D11)</f>
        <v>43959.80962453728</v>
      </c>
      <c r="BJ9" s="30">
        <f>(Data!$G835+Data!$G836+Data!$G837)/(Data!$D9+Data!$D10+Data!$D11)</f>
        <v>44619.777895293497</v>
      </c>
      <c r="BK9" s="30">
        <f>(Data!$G849+Data!$G850+Data!$G851)/(Data!$D9+Data!$D10+Data!$D11)</f>
        <v>45353.252247488104</v>
      </c>
      <c r="BL9" s="30">
        <f>(Data!$G863+Data!$G864+Data!$G865)/(Data!$D9+Data!$D10+Data!$D11)</f>
        <v>45680.592279217344</v>
      </c>
    </row>
    <row r="10" spans="2:64" x14ac:dyDescent="0.3">
      <c r="B10" t="str">
        <f>Data!B12</f>
        <v>NFLD</v>
      </c>
      <c r="C10" s="30">
        <f>Data!K12</f>
        <v>3213.740458015267</v>
      </c>
      <c r="D10" s="30">
        <f>Data!K26</f>
        <v>3213.740458015267</v>
      </c>
      <c r="E10" s="30">
        <f>Data!K40</f>
        <v>4450.3816793893129</v>
      </c>
      <c r="F10" s="30">
        <f>Data!K54</f>
        <v>4914.1221374045799</v>
      </c>
      <c r="G10" s="30">
        <f>Data!$K68</f>
        <v>4914.1221374045799</v>
      </c>
      <c r="H10" s="30">
        <f>Data!$K82</f>
        <v>5589.6946564885493</v>
      </c>
      <c r="I10" s="30">
        <f>Data!$K96</f>
        <v>6108.7786259541981</v>
      </c>
      <c r="J10" s="30">
        <f>Data!$K110</f>
        <v>6461.8320610687024</v>
      </c>
      <c r="K10" s="30">
        <f>Data!$K124</f>
        <v>7206.1068702290077</v>
      </c>
      <c r="L10" s="30">
        <f>Data!$K138</f>
        <v>7206.1068702290077</v>
      </c>
      <c r="M10" s="30">
        <f>Data!$K152</f>
        <v>7917.93893129771</v>
      </c>
      <c r="N10" s="30">
        <f>Data!$K166</f>
        <v>8377.8625954198469</v>
      </c>
      <c r="O10" s="30">
        <f>Data!$K180</f>
        <v>8377.8625954198469</v>
      </c>
      <c r="P10" s="30">
        <f>Data!$K194</f>
        <v>9019.0839694656479</v>
      </c>
      <c r="Q10" s="30">
        <f>Data!$K208</f>
        <v>9019.0839694656479</v>
      </c>
      <c r="R10" s="30">
        <f>Data!$K222</f>
        <v>9582.061068702289</v>
      </c>
      <c r="S10" s="30">
        <f>Data!$K236</f>
        <v>9858.7786259541972</v>
      </c>
      <c r="T10" s="30">
        <f>Data!$K250</f>
        <v>10248.091603053435</v>
      </c>
      <c r="U10" s="30">
        <f>Data!$K264</f>
        <v>10658.396946564884</v>
      </c>
      <c r="V10" s="30">
        <f>Data!$K278</f>
        <v>11204.198473282442</v>
      </c>
      <c r="W10" s="30">
        <f>Data!$K292</f>
        <v>11925.572519083969</v>
      </c>
      <c r="X10" s="30">
        <f>Data!$K306</f>
        <v>12272.900763358779</v>
      </c>
      <c r="Y10" s="30">
        <f>Data!$K320</f>
        <v>12713.740458015267</v>
      </c>
      <c r="Z10" s="30">
        <f>Data!$K334</f>
        <v>13171.755725190838</v>
      </c>
      <c r="AA10" s="30">
        <f>Data!$K348</f>
        <v>13614.503816793893</v>
      </c>
      <c r="AB10" s="30">
        <f>Data!$K362</f>
        <v>13992.36641221374</v>
      </c>
      <c r="AC10" s="30">
        <f>Data!$K376</f>
        <v>14545.801526717556</v>
      </c>
      <c r="AD10" s="30">
        <f>Data!$K390</f>
        <v>15181.297709923663</v>
      </c>
      <c r="AE10" s="30">
        <f>Data!$K404</f>
        <v>15181.297709923663</v>
      </c>
      <c r="AF10" s="30">
        <f>Data!$K418</f>
        <v>15984.732824427479</v>
      </c>
      <c r="AG10" s="30">
        <f>Data!$K432</f>
        <v>16320.6106870229</v>
      </c>
      <c r="AH10" s="30">
        <f>Data!$K446</f>
        <v>16633.587786259541</v>
      </c>
      <c r="AI10" s="30">
        <f>Data!$K460</f>
        <v>17101.145038167939</v>
      </c>
      <c r="AJ10" s="30">
        <f>Data!$K474</f>
        <v>17440.839694656486</v>
      </c>
      <c r="AK10" s="30">
        <f>Data!$K488</f>
        <v>17740.458015267173</v>
      </c>
      <c r="AL10" s="30">
        <f>Data!$K502</f>
        <v>18049.618320610687</v>
      </c>
      <c r="AM10" s="30">
        <f>Data!$K516</f>
        <v>18305.343511450381</v>
      </c>
      <c r="AN10" s="30">
        <f>Data!$K530</f>
        <v>18511.450381679388</v>
      </c>
      <c r="AO10" s="30">
        <f>Data!$K544</f>
        <v>18893.129770992367</v>
      </c>
      <c r="AP10" s="30">
        <f>Data!$K558</f>
        <v>19183.206106870228</v>
      </c>
      <c r="AQ10" s="30">
        <f>Data!$K572</f>
        <v>19374.045801526718</v>
      </c>
      <c r="AR10" s="30">
        <f>Data!$K586</f>
        <v>19608.778625954197</v>
      </c>
      <c r="AS10" s="30">
        <f>Data!$K600</f>
        <v>19744.274809160306</v>
      </c>
      <c r="AT10" s="30">
        <f>Data!$K614</f>
        <v>20085.877862595418</v>
      </c>
      <c r="AU10" s="30">
        <f>Data!$K628</f>
        <v>20374.045801526718</v>
      </c>
      <c r="AV10" s="30">
        <f>Data!$K642</f>
        <v>20509.541984732823</v>
      </c>
      <c r="AW10" s="30">
        <f>Data!$K656</f>
        <v>20688.931297709922</v>
      </c>
      <c r="AX10" s="30">
        <f>Data!$K670</f>
        <v>20959.923664122136</v>
      </c>
      <c r="AY10" s="30">
        <f>Data!$K684</f>
        <v>21192.748091603051</v>
      </c>
      <c r="AZ10" s="30">
        <f>Data!$K698</f>
        <v>21198.473282442748</v>
      </c>
      <c r="BA10" s="30">
        <f>Data!$K712</f>
        <v>21654.580152671755</v>
      </c>
      <c r="BB10" s="30">
        <f>Data!$K726</f>
        <v>21937.022900763357</v>
      </c>
      <c r="BC10" s="30">
        <f>Data!$K740</f>
        <v>22169.847328244276</v>
      </c>
      <c r="BD10" s="30">
        <f>Data!$K754</f>
        <v>22471.374045801527</v>
      </c>
      <c r="BE10" s="30">
        <f>Data!$K768</f>
        <v>22723.282442748092</v>
      </c>
      <c r="BF10" s="30">
        <f>Data!$K782</f>
        <v>23082.061068702289</v>
      </c>
      <c r="BG10" s="30">
        <f>Data!$K796</f>
        <v>23383.587786259541</v>
      </c>
      <c r="BH10" s="30">
        <f>Data!$K810</f>
        <v>23746.183206106871</v>
      </c>
      <c r="BI10" s="30">
        <f>Data!$K824</f>
        <v>24082.061068702289</v>
      </c>
      <c r="BJ10" s="30">
        <f>Data!$K838</f>
        <v>24463.740458015265</v>
      </c>
      <c r="BK10" s="30">
        <f>Data!$K852</f>
        <v>24717.557251908394</v>
      </c>
      <c r="BL10" s="30">
        <f>Data!$K866</f>
        <v>25232.824427480915</v>
      </c>
    </row>
    <row r="11" spans="2:64" x14ac:dyDescent="0.3">
      <c r="B11" t="str">
        <f>Data!B13</f>
        <v>Canada</v>
      </c>
      <c r="C11" s="30">
        <f>Data!K13</f>
        <v>4666.9148936170213</v>
      </c>
      <c r="D11" s="30">
        <f>Data!K27</f>
        <v>5369.4148936170213</v>
      </c>
      <c r="E11" s="30">
        <f>Data!K41</f>
        <v>6146.5691489361698</v>
      </c>
      <c r="F11" s="30">
        <f>Data!K55</f>
        <v>6565.3723404255315</v>
      </c>
      <c r="G11" s="30">
        <f>Data!$K69</f>
        <v>7034.2021276595742</v>
      </c>
      <c r="H11" s="30">
        <f>Data!$K83</f>
        <v>7517.260638297872</v>
      </c>
      <c r="I11" s="30">
        <f>Data!$K97</f>
        <v>7997.7127659574462</v>
      </c>
      <c r="J11" s="30">
        <f>Data!$K111</f>
        <v>8590.9840425531911</v>
      </c>
      <c r="K11" s="30">
        <f>Data!$K125</f>
        <v>9140.9574468085102</v>
      </c>
      <c r="L11" s="30">
        <f>Data!$K139</f>
        <v>9499.521276595744</v>
      </c>
      <c r="M11" s="30">
        <f>Data!$K153</f>
        <v>9869.4148936170204</v>
      </c>
      <c r="N11" s="30">
        <f>Data!$K167</f>
        <v>10234.574468085106</v>
      </c>
      <c r="O11" s="30">
        <f>Data!$K181</f>
        <v>10468.776595744681</v>
      </c>
      <c r="P11" s="30">
        <f>Data!$K195</f>
        <v>10847.473404255319</v>
      </c>
      <c r="Q11" s="30">
        <f>Data!$K209</f>
        <v>11851.968085106382</v>
      </c>
      <c r="R11" s="30">
        <f>Data!$K223</f>
        <v>12298.244680851063</v>
      </c>
      <c r="S11" s="30">
        <f>Data!$K237</f>
        <v>12751.54255319149</v>
      </c>
      <c r="T11" s="30">
        <f>Data!$K251</f>
        <v>13295.026595744681</v>
      </c>
      <c r="U11" s="30">
        <f>Data!$K265</f>
        <v>13948.563829787234</v>
      </c>
      <c r="V11" s="30">
        <f>Data!$K279</f>
        <v>14563.16489361702</v>
      </c>
      <c r="W11" s="30">
        <f>Data!$K293</f>
        <v>15641.037234042553</v>
      </c>
      <c r="X11" s="30">
        <f>Data!$K307</f>
        <v>16229.627659574468</v>
      </c>
      <c r="Y11" s="30">
        <f>Data!$K321</f>
        <v>16911.117021276594</v>
      </c>
      <c r="Z11" s="30">
        <f>Data!$K335</f>
        <v>17349.388297872341</v>
      </c>
      <c r="AA11" s="30">
        <f>Data!$K349</f>
        <v>18073.457446808508</v>
      </c>
      <c r="AB11" s="30">
        <f>Data!$K363</f>
        <v>18742.313829787232</v>
      </c>
      <c r="AC11" s="30">
        <f>Data!$K377</f>
        <v>20262.739361702126</v>
      </c>
      <c r="AD11" s="30">
        <f>Data!$K391</f>
        <v>20732.659574468085</v>
      </c>
      <c r="AE11" s="30">
        <f>Data!$K405</f>
        <v>21545.292553191488</v>
      </c>
      <c r="AF11" s="30">
        <f>Data!$K419</f>
        <v>22170.505319148935</v>
      </c>
      <c r="AG11" s="30">
        <f>Data!$K433</f>
        <v>23037.792553191488</v>
      </c>
      <c r="AH11" s="30">
        <f>Data!$K447</f>
        <v>23703.430851063829</v>
      </c>
      <c r="AI11" s="30">
        <f>Data!$K461</f>
        <v>25480.292553191488</v>
      </c>
      <c r="AJ11" s="30">
        <f>Data!$K475</f>
        <v>25917.819148936171</v>
      </c>
      <c r="AK11" s="30">
        <f>Data!$K489</f>
        <v>26475.611702127659</v>
      </c>
      <c r="AL11" s="30">
        <f>Data!$K503</f>
        <v>27119.41489361702</v>
      </c>
      <c r="AM11" s="30">
        <f>Data!$K517</f>
        <v>28580.053191489362</v>
      </c>
      <c r="AN11" s="30">
        <f>Data!$K531</f>
        <v>29657.473404255317</v>
      </c>
      <c r="AO11" s="30">
        <f>Data!$K545</f>
        <v>30967.154255319147</v>
      </c>
      <c r="AP11" s="30">
        <f>Data!$K559</f>
        <v>31448.484042553191</v>
      </c>
      <c r="AQ11" s="30">
        <f>Data!$K573</f>
        <v>32648.351063829785</v>
      </c>
      <c r="AR11" s="30">
        <f>Data!$K587</f>
        <v>33341.728723404252</v>
      </c>
      <c r="AS11" s="30">
        <f>Data!$K601</f>
        <v>34042.898936170212</v>
      </c>
      <c r="AT11" s="30">
        <f>Data!$K615</f>
        <v>35370.957446808512</v>
      </c>
      <c r="AU11" s="30">
        <f>Data!$K629</f>
        <v>36534.893617021276</v>
      </c>
      <c r="AV11" s="30">
        <f>Data!$K643</f>
        <v>36814.228723404252</v>
      </c>
      <c r="AW11" s="30">
        <f>Data!$K657</f>
        <v>37673.856382978724</v>
      </c>
      <c r="AX11" s="30">
        <f>Data!$K671</f>
        <v>38734.547872340423</v>
      </c>
      <c r="AY11" s="30">
        <f>Data!$K685</f>
        <v>39172.845744680846</v>
      </c>
      <c r="AZ11" s="30">
        <f>Data!$K699</f>
        <v>40209.361702127659</v>
      </c>
      <c r="BA11" s="30">
        <f>Data!$K713</f>
        <v>41151.436170212764</v>
      </c>
      <c r="BB11" s="30">
        <f>Data!$K727</f>
        <v>41865.664893617017</v>
      </c>
      <c r="BC11" s="30">
        <f>Data!$K741</f>
        <v>42526.037234042553</v>
      </c>
      <c r="BD11" s="30">
        <f>Data!$K755</f>
        <v>42713.244680851065</v>
      </c>
      <c r="BE11" s="30">
        <f>Data!$K769</f>
        <v>44325.186170212764</v>
      </c>
      <c r="BF11" s="30">
        <f>Data!$K783</f>
        <v>45497.95212765957</v>
      </c>
      <c r="BG11" s="30">
        <f>Data!$K797</f>
        <v>47063.430851063829</v>
      </c>
      <c r="BH11" s="30">
        <f>Data!$K811</f>
        <v>48072.925531914894</v>
      </c>
      <c r="BI11" s="30">
        <f>Data!$K825</f>
        <v>49059.494680851065</v>
      </c>
      <c r="BJ11" s="30">
        <f>Data!$K839</f>
        <v>50119.042553191488</v>
      </c>
      <c r="BK11" s="30">
        <f>Data!$K853</f>
        <v>51157.313829787236</v>
      </c>
      <c r="BL11" s="30">
        <f>Data!$K867</f>
        <v>52082.606382978724</v>
      </c>
    </row>
    <row r="12" spans="2:64" x14ac:dyDescent="0.3">
      <c r="B12" t="str">
        <f>Data!B14</f>
        <v>USA</v>
      </c>
      <c r="C12" s="30">
        <f>Data!K14</f>
        <v>1916.4006116207952</v>
      </c>
      <c r="D12" s="30">
        <f>Data!K28</f>
        <v>2249.8593272171252</v>
      </c>
      <c r="E12" s="30">
        <f>Data!K42</f>
        <v>2889.4617737003059</v>
      </c>
      <c r="F12" s="30">
        <f>Data!K56</f>
        <v>3207.8623853211011</v>
      </c>
      <c r="G12" s="30">
        <f>Data!$K70</f>
        <v>3516.6972477064219</v>
      </c>
      <c r="H12" s="30">
        <f>Data!$K84</f>
        <v>3876.6299694189602</v>
      </c>
      <c r="I12" s="30">
        <f>Data!$K98</f>
        <v>4354.4770642201838</v>
      </c>
      <c r="J12" s="30">
        <f>Data!$K112</f>
        <v>5055.660550458716</v>
      </c>
      <c r="K12" s="30">
        <f>Data!$K126</f>
        <v>5886.9847094801225</v>
      </c>
      <c r="L12" s="30">
        <f>Data!$K140</f>
        <v>6339.8195718654433</v>
      </c>
      <c r="M12" s="30">
        <f>Data!$K154</f>
        <v>6766.6207951070337</v>
      </c>
      <c r="N12" s="30">
        <f>Data!$K168</f>
        <v>7263.6422018348621</v>
      </c>
      <c r="O12" s="30">
        <f>Data!$K182</f>
        <v>7705.327217125382</v>
      </c>
      <c r="P12" s="30">
        <f>Data!$K196</f>
        <v>8152.9724770642206</v>
      </c>
      <c r="Q12" s="30">
        <f>Data!$K210</f>
        <v>8975.5535168195711</v>
      </c>
      <c r="R12" s="30">
        <f>Data!$K224</f>
        <v>9423.9143730886844</v>
      </c>
      <c r="S12" s="30">
        <f>Data!$K238</f>
        <v>9916.6819571865435</v>
      </c>
      <c r="T12" s="30">
        <f>Data!$K252</f>
        <v>10400.80733944954</v>
      </c>
      <c r="U12" s="30">
        <f>Data!$K266</f>
        <v>10879.183486238531</v>
      </c>
      <c r="V12" s="30">
        <f>Data!$K280</f>
        <v>11310.501529051988</v>
      </c>
      <c r="W12" s="30">
        <f>Data!$K294</f>
        <v>12243.275229357798</v>
      </c>
      <c r="X12" s="30">
        <f>Data!$K308</f>
        <v>12706.96636085627</v>
      </c>
      <c r="Y12" s="30">
        <f>Data!$K322</f>
        <v>13659.201834862386</v>
      </c>
      <c r="Z12" s="30">
        <f>Data!$K336</f>
        <v>14251.529051987767</v>
      </c>
      <c r="AA12" s="30">
        <f>Data!$K350</f>
        <v>14935.174311926605</v>
      </c>
      <c r="AB12" s="30">
        <f>Data!$K364</f>
        <v>15855.152905198776</v>
      </c>
      <c r="AC12" s="30">
        <f>Data!$K378</f>
        <v>17105.489296636086</v>
      </c>
      <c r="AD12" s="30">
        <f>Data!$K392</f>
        <v>17723.93883792049</v>
      </c>
      <c r="AE12" s="30">
        <f>Data!$K406</f>
        <v>18481.085626911314</v>
      </c>
      <c r="AF12" s="30">
        <f>Data!$K420</f>
        <v>19012.461773700306</v>
      </c>
      <c r="AG12" s="30">
        <f>Data!$K434</f>
        <v>20095.972477064221</v>
      </c>
      <c r="AH12" s="30">
        <f>Data!$K448</f>
        <v>21066</v>
      </c>
      <c r="AI12" s="30">
        <f>Data!$K462</f>
        <v>22624.305810397553</v>
      </c>
      <c r="AJ12" s="30">
        <f>Data!$K476</f>
        <v>23310.626911314987</v>
      </c>
      <c r="AK12" s="30">
        <f>Data!$K490</f>
        <v>24263.831804281344</v>
      </c>
      <c r="AL12" s="30">
        <f>Data!$K504</f>
        <v>23885.700305810398</v>
      </c>
      <c r="AM12" s="30">
        <f>Data!$K518</f>
        <v>26112.409785932723</v>
      </c>
      <c r="AN12" s="30">
        <f>Data!$K532</f>
        <v>26212.12232415902</v>
      </c>
      <c r="AO12" s="30">
        <f>Data!$K546</f>
        <v>29566.544342507645</v>
      </c>
      <c r="AP12" s="30">
        <f>Data!$K560</f>
        <v>30124.825688073393</v>
      </c>
      <c r="AQ12" s="30">
        <f>Data!$K574</f>
        <v>31191.685015290521</v>
      </c>
      <c r="AR12" s="30">
        <f>Data!$K588</f>
        <v>32160.785932721712</v>
      </c>
      <c r="AS12" s="30">
        <f>Data!$K602</f>
        <v>33343.571865443424</v>
      </c>
      <c r="AT12" s="30">
        <f>Data!$K616</f>
        <v>35932.067278287461</v>
      </c>
      <c r="AU12" s="30">
        <f>Data!$K630</f>
        <v>36893.45259938838</v>
      </c>
      <c r="AV12" s="30">
        <f>Data!$K644</f>
        <v>38433.847094801225</v>
      </c>
      <c r="AW12" s="30">
        <f>Data!$K658</f>
        <v>39230.241590214064</v>
      </c>
      <c r="AX12" s="30">
        <f>Data!$K672</f>
        <v>40320.932721712539</v>
      </c>
      <c r="AY12" s="30">
        <f>Data!$K686</f>
        <v>42006.370030581042</v>
      </c>
      <c r="AZ12" s="30">
        <f>Data!$K700</f>
        <v>43529.954128440368</v>
      </c>
      <c r="BA12" s="30">
        <f>Data!$K714</f>
        <v>46116.948012232417</v>
      </c>
      <c r="BB12" s="30">
        <f>Data!$K728</f>
        <v>47075.373088685017</v>
      </c>
      <c r="BC12" s="30">
        <f>Data!$K742</f>
        <v>48216.403669724772</v>
      </c>
      <c r="BD12" s="30">
        <f>Data!$K756</f>
        <v>49588.926605504588</v>
      </c>
      <c r="BE12" s="30">
        <f>Data!$K770</f>
        <v>50491.675840978591</v>
      </c>
      <c r="BF12" s="30">
        <f>Data!$K784</f>
        <v>52258.238532110088</v>
      </c>
      <c r="BG12" s="30">
        <f>Data!$K798</f>
        <v>54930.321100917434</v>
      </c>
      <c r="BH12" s="30">
        <f>Data!$K812</f>
        <v>56268.244648318039</v>
      </c>
      <c r="BI12" s="30">
        <f>Data!$K826</f>
        <v>57807.929663608564</v>
      </c>
      <c r="BJ12" s="30">
        <f>Data!$K840</f>
        <v>59438.012232415902</v>
      </c>
      <c r="BK12" s="30">
        <f>Data!$K854</f>
        <v>61631.229357798162</v>
      </c>
      <c r="BL12" s="30">
        <f>Data!$K868</f>
        <v>62999.412844036699</v>
      </c>
    </row>
    <row r="14" spans="2:64" x14ac:dyDescent="0.3">
      <c r="B14" t="s">
        <v>24</v>
      </c>
      <c r="C14" s="29">
        <f>C2</f>
        <v>43917</v>
      </c>
      <c r="D14" s="29">
        <f t="shared" ref="D14:I14" si="0">D2</f>
        <v>43918</v>
      </c>
      <c r="E14" s="29">
        <f t="shared" si="0"/>
        <v>43920</v>
      </c>
      <c r="F14" s="29">
        <f t="shared" si="0"/>
        <v>43921</v>
      </c>
      <c r="G14" s="29">
        <f t="shared" si="0"/>
        <v>43922</v>
      </c>
      <c r="H14" s="29">
        <f t="shared" si="0"/>
        <v>43923</v>
      </c>
      <c r="I14" s="29">
        <f t="shared" si="0"/>
        <v>43924</v>
      </c>
      <c r="J14" s="29">
        <f>J2</f>
        <v>43925</v>
      </c>
      <c r="K14" s="29">
        <v>43927</v>
      </c>
      <c r="L14" s="29">
        <v>43928</v>
      </c>
      <c r="M14" s="29">
        <v>43929</v>
      </c>
      <c r="N14" s="29">
        <v>43930</v>
      </c>
      <c r="O14" s="29">
        <v>43931</v>
      </c>
      <c r="P14" s="29">
        <v>43932</v>
      </c>
      <c r="Q14" s="29">
        <v>43934</v>
      </c>
      <c r="R14" s="29">
        <v>43935</v>
      </c>
      <c r="S14" s="29">
        <v>43936</v>
      </c>
      <c r="T14" s="29">
        <v>43937</v>
      </c>
      <c r="U14" s="29">
        <v>43938</v>
      </c>
      <c r="V14" s="29">
        <v>43939</v>
      </c>
      <c r="W14" s="29">
        <v>43941</v>
      </c>
      <c r="X14" s="29">
        <v>43942</v>
      </c>
      <c r="Y14" s="29">
        <v>43943</v>
      </c>
      <c r="Z14" s="29">
        <v>43944</v>
      </c>
      <c r="AA14" s="29">
        <v>43945</v>
      </c>
      <c r="AB14" s="29">
        <v>43946</v>
      </c>
      <c r="AC14" s="29">
        <v>43948</v>
      </c>
      <c r="AD14" s="29">
        <v>43949</v>
      </c>
      <c r="AE14" s="29">
        <v>43950</v>
      </c>
      <c r="AF14" s="29">
        <v>43951</v>
      </c>
      <c r="AG14" s="29">
        <v>43952</v>
      </c>
      <c r="AH14" s="29">
        <v>43953</v>
      </c>
      <c r="AI14" s="29">
        <v>43955</v>
      </c>
      <c r="AJ14" s="29">
        <v>43956</v>
      </c>
      <c r="AK14" s="29">
        <v>43957</v>
      </c>
      <c r="AL14" s="29">
        <v>43958</v>
      </c>
      <c r="AM14" s="29">
        <v>43959</v>
      </c>
      <c r="AN14" s="29">
        <v>43960</v>
      </c>
      <c r="AO14" s="29">
        <v>43962</v>
      </c>
      <c r="AP14" s="29">
        <v>43963</v>
      </c>
      <c r="AQ14" s="29">
        <v>43964</v>
      </c>
      <c r="AR14" s="29">
        <v>43965</v>
      </c>
      <c r="AS14" s="29">
        <v>43966</v>
      </c>
      <c r="AT14" s="29">
        <v>43967</v>
      </c>
      <c r="AU14" s="29">
        <v>43969</v>
      </c>
      <c r="AV14" s="29">
        <v>43970</v>
      </c>
      <c r="AW14" s="29">
        <v>43971</v>
      </c>
      <c r="AX14" s="29">
        <v>43972</v>
      </c>
      <c r="AY14" s="29">
        <v>43973</v>
      </c>
      <c r="AZ14" s="29">
        <v>43974</v>
      </c>
      <c r="BA14" s="29">
        <v>43976</v>
      </c>
      <c r="BB14" s="29">
        <v>43977</v>
      </c>
      <c r="BC14" s="29">
        <v>43978</v>
      </c>
      <c r="BD14" s="29">
        <v>43979</v>
      </c>
      <c r="BE14" s="29">
        <v>43980</v>
      </c>
      <c r="BF14" s="29">
        <v>43981</v>
      </c>
      <c r="BG14" s="29">
        <v>43983</v>
      </c>
      <c r="BH14" s="29">
        <v>43984</v>
      </c>
      <c r="BI14" s="29">
        <v>43985</v>
      </c>
      <c r="BJ14" s="29">
        <v>43986</v>
      </c>
      <c r="BK14" s="29">
        <v>43987</v>
      </c>
      <c r="BL14" s="29">
        <v>43988</v>
      </c>
    </row>
    <row r="15" spans="2:64" x14ac:dyDescent="0.3">
      <c r="B15" t="str">
        <f>B3</f>
        <v>Ontario</v>
      </c>
      <c r="C15" s="30">
        <f>Data!L3</f>
        <v>68.719723183391011</v>
      </c>
      <c r="D15" s="30">
        <f>Data!L17</f>
        <v>93.771626297577853</v>
      </c>
      <c r="E15" s="30">
        <f>Data!L31</f>
        <v>118.06228373702423</v>
      </c>
      <c r="F15" s="30">
        <f>Data!$L45</f>
        <v>136.05536332179932</v>
      </c>
      <c r="G15" s="30">
        <f>Data!$L59</f>
        <v>165.53633217993081</v>
      </c>
      <c r="H15" s="30">
        <f>Data!$L73</f>
        <v>193.28719723183391</v>
      </c>
      <c r="I15" s="30">
        <f>Data!$L87</f>
        <v>225.25951557093427</v>
      </c>
      <c r="J15" s="30">
        <f>Data!$L101</f>
        <v>251.21107266435988</v>
      </c>
      <c r="K15" s="30">
        <f>Data!$L115</f>
        <v>300.83044982698965</v>
      </c>
      <c r="L15" s="30">
        <f>Data!$L129</f>
        <v>327.05882352941177</v>
      </c>
      <c r="M15" s="30">
        <f>Data!$L143</f>
        <v>365.12110726643601</v>
      </c>
      <c r="N15" s="30">
        <f>Data!$L157</f>
        <v>398.54671280276818</v>
      </c>
      <c r="O15" s="30">
        <f>Data!$L171</f>
        <v>431.6262975778547</v>
      </c>
      <c r="P15" s="30">
        <f>Data!$L185</f>
        <v>460.06920415224914</v>
      </c>
      <c r="Q15" s="30">
        <f>Data!$L199</f>
        <v>516.95501730103808</v>
      </c>
      <c r="R15" s="30">
        <f>Data!$L213</f>
        <v>550.38062283737031</v>
      </c>
      <c r="S15" s="30">
        <f>Data!$L227</f>
        <v>586.64359861591697</v>
      </c>
      <c r="T15" s="30">
        <f>Data!$L241</f>
        <v>620.13840830449828</v>
      </c>
      <c r="U15" s="30">
        <f>Data!$L255</f>
        <v>659.16955017301041</v>
      </c>
      <c r="V15" s="30">
        <f>Data!$L269</f>
        <v>692.73356401384092</v>
      </c>
      <c r="W15" s="30">
        <f>Data!$L283</f>
        <v>773.97923875432525</v>
      </c>
      <c r="X15" s="30">
        <f>Data!$L297</f>
        <v>812.1107266435987</v>
      </c>
      <c r="Y15" s="30">
        <f>Data!$L311</f>
        <v>847.40484429065748</v>
      </c>
      <c r="Z15" s="30">
        <f>Data!$L325</f>
        <v>891.28027681660899</v>
      </c>
      <c r="AA15" s="30">
        <f>Data!$L339</f>
        <v>935.57093425605547</v>
      </c>
      <c r="AB15" s="30">
        <f>Data!$L353</f>
        <v>968.51211072664364</v>
      </c>
      <c r="AC15" s="30">
        <f>Data!$L367</f>
        <v>1028.0968858131489</v>
      </c>
      <c r="AD15" s="30">
        <f>Data!$L381</f>
        <v>1064.4290657439446</v>
      </c>
      <c r="AE15" s="30">
        <f>Data!$L395</f>
        <v>1088.4429065743946</v>
      </c>
      <c r="AF15" s="30">
        <f>Data!$L409</f>
        <v>1120.2076124567475</v>
      </c>
      <c r="AG15" s="30">
        <f>Data!$L423</f>
        <v>1149.3425605536333</v>
      </c>
      <c r="AH15" s="30">
        <f>Data!$L437</f>
        <v>1184.7058823529412</v>
      </c>
      <c r="AI15" s="30">
        <f>Data!$L451</f>
        <v>1240.3460207612457</v>
      </c>
      <c r="AJ15" s="30">
        <f>Data!$L465</f>
        <v>1267.128027681661</v>
      </c>
      <c r="AK15" s="30">
        <f>Data!$L479</f>
        <v>1295.6401384083047</v>
      </c>
      <c r="AL15" s="30">
        <f>Data!$L493</f>
        <v>1323.2525951557095</v>
      </c>
      <c r="AM15" s="30">
        <f>Data!$L507</f>
        <v>1356.2629757785469</v>
      </c>
      <c r="AN15" s="30">
        <f>Data!$L521</f>
        <v>1380.2076124567475</v>
      </c>
      <c r="AO15" s="30">
        <f>Data!$L535</f>
        <v>1421.8685121107267</v>
      </c>
      <c r="AP15" s="30">
        <f>Data!$L549</f>
        <v>1446.8512110726645</v>
      </c>
      <c r="AQ15" s="30">
        <f>Data!$L563</f>
        <v>1469.6193771626299</v>
      </c>
      <c r="AR15" s="30">
        <f>Data!$L577</f>
        <v>1487.4740484429067</v>
      </c>
      <c r="AS15" s="30">
        <f>Data!$L591</f>
        <v>1517.0934256055364</v>
      </c>
      <c r="AT15" s="30">
        <f>Data!$L605</f>
        <v>1544.1522491349481</v>
      </c>
      <c r="AU15" s="30">
        <f>Data!$L619</f>
        <v>1588.7197231833911</v>
      </c>
      <c r="AV15" s="30">
        <f>Data!$L633</f>
        <v>1618.2698961937717</v>
      </c>
      <c r="AW15" s="30">
        <f>Data!$L647</f>
        <v>1645.2595155709344</v>
      </c>
      <c r="AX15" s="30">
        <f>Data!$L661</f>
        <v>1673.8408304498271</v>
      </c>
      <c r="AY15" s="30">
        <f>Data!$L675</f>
        <v>1704.3598615916956</v>
      </c>
      <c r="AZ15" s="30">
        <f>Data!$L689</f>
        <v>1732.8719723183392</v>
      </c>
      <c r="BA15" s="30">
        <f>Data!$L703</f>
        <v>1792.6643598615917</v>
      </c>
      <c r="BB15" s="30">
        <f>Data!$L717</f>
        <v>1812.5259515570935</v>
      </c>
      <c r="BC15" s="30">
        <f>Data!$L731</f>
        <v>1832.733564013841</v>
      </c>
      <c r="BD15" s="30">
        <f>Data!$L745</f>
        <v>1859.2387543252596</v>
      </c>
      <c r="BE15" s="30">
        <f>Data!$L759</f>
        <v>1883.044982698962</v>
      </c>
      <c r="BF15" s="30">
        <f>Data!$L773</f>
        <v>1905.3979238754325</v>
      </c>
      <c r="BG15" s="30">
        <f>Data!$L787</f>
        <v>1955.9169550173012</v>
      </c>
      <c r="BH15" s="30">
        <f>Data!$L801</f>
        <v>1986.7820069204154</v>
      </c>
      <c r="BI15" s="30">
        <f>Data!$L815</f>
        <v>2010.1730103806228</v>
      </c>
      <c r="BJ15" s="30">
        <f>Data!$L829</f>
        <v>2034.809688581315</v>
      </c>
      <c r="BK15" s="30">
        <f>Data!$L843</f>
        <v>2058.6159169550174</v>
      </c>
      <c r="BL15" s="30">
        <f>Data!$L857</f>
        <v>2090.1038062283737</v>
      </c>
    </row>
    <row r="16" spans="2:64" x14ac:dyDescent="0.3">
      <c r="B16" t="str">
        <f t="shared" ref="B16:B24" si="1">B4</f>
        <v>Quebec</v>
      </c>
      <c r="C16" s="30">
        <f>Data!L4</f>
        <v>239.73902728351129</v>
      </c>
      <c r="D16" s="30">
        <f>Data!L18</f>
        <v>296.32265717674971</v>
      </c>
      <c r="E16" s="30">
        <f>Data!L32</f>
        <v>406.8801897983393</v>
      </c>
      <c r="F16" s="30">
        <f>Data!$L46</f>
        <v>493.7129300118624</v>
      </c>
      <c r="G16" s="30">
        <f>Data!$L60</f>
        <v>546.9750889679716</v>
      </c>
      <c r="H16" s="30">
        <f>Data!$L74</f>
        <v>654.56702253855281</v>
      </c>
      <c r="I16" s="30">
        <f>Data!$L88</f>
        <v>723.72479240806649</v>
      </c>
      <c r="J16" s="30">
        <f>Data!$L102</f>
        <v>830.01186239620404</v>
      </c>
      <c r="K16" s="30">
        <f>Data!$L116</f>
        <v>1017.7935943060498</v>
      </c>
      <c r="L16" s="30">
        <f>Data!$L130</f>
        <v>1107.9478054567023</v>
      </c>
      <c r="M16" s="30">
        <f>Data!$L144</f>
        <v>1189.9169632265719</v>
      </c>
      <c r="N16" s="30">
        <f>Data!$L158</f>
        <v>1294.4246737841045</v>
      </c>
      <c r="O16" s="30">
        <f>Data!$L172</f>
        <v>1385.1720047449585</v>
      </c>
      <c r="P16" s="30">
        <f>Data!$L186</f>
        <v>1458.1257413997628</v>
      </c>
      <c r="Q16" s="30">
        <f>Data!$L200</f>
        <v>1608.1850533807831</v>
      </c>
      <c r="R16" s="30">
        <f>Data!$L214</f>
        <v>1690.1542111506526</v>
      </c>
      <c r="S16" s="30">
        <f>Data!$L228</f>
        <v>1762.7520759193358</v>
      </c>
      <c r="T16" s="30">
        <f>Data!$L242</f>
        <v>1881.020166073547</v>
      </c>
      <c r="U16" s="30">
        <f>Data!$L256</f>
        <v>1991.5776986951364</v>
      </c>
      <c r="V16" s="30">
        <f>Data!$L270</f>
        <v>2078.4104389086597</v>
      </c>
      <c r="W16" s="30">
        <f>Data!$L284</f>
        <v>2291.696322657177</v>
      </c>
      <c r="X16" s="30">
        <f>Data!$L298</f>
        <v>2387.4258600237249</v>
      </c>
      <c r="Y16" s="30">
        <f>Data!$L312</f>
        <v>2486.9513641755634</v>
      </c>
      <c r="Z16" s="30">
        <f>Data!$L326</f>
        <v>2590.5100830367737</v>
      </c>
      <c r="AA16" s="30">
        <f>Data!$L340</f>
        <v>2682.7995255041519</v>
      </c>
      <c r="AB16" s="30">
        <f>Data!$L354</f>
        <v>2760.0237247924083</v>
      </c>
      <c r="AC16" s="30">
        <f>Data!$L368</f>
        <v>2963.463819691578</v>
      </c>
      <c r="AD16" s="30">
        <f>Data!$L382</f>
        <v>3055.3973902728353</v>
      </c>
      <c r="AE16" s="30">
        <f>Data!$L396</f>
        <v>3154.6856465005931</v>
      </c>
      <c r="AF16" s="30">
        <f>Data!$L410</f>
        <v>3266.666666666667</v>
      </c>
      <c r="AG16" s="30">
        <f>Data!$L424</f>
        <v>3398.3392645314357</v>
      </c>
      <c r="AH16" s="30">
        <f>Data!$L438</f>
        <v>3517.9122182680903</v>
      </c>
      <c r="AI16" s="30">
        <f>Data!$L452</f>
        <v>3869.8695136417559</v>
      </c>
      <c r="AJ16" s="30">
        <f>Data!$L466</f>
        <v>3964.0569395017797</v>
      </c>
      <c r="AK16" s="30">
        <f>Data!$L480</f>
        <v>4072.0047449584818</v>
      </c>
      <c r="AL16" s="30">
        <f>Data!$L494</f>
        <v>4180.0711743772245</v>
      </c>
      <c r="AM16" s="30">
        <f>Data!$L508</f>
        <v>4288.2562277580073</v>
      </c>
      <c r="AN16" s="30">
        <f>Data!$L522</f>
        <v>4387.4258600237254</v>
      </c>
      <c r="AO16" s="30">
        <f>Data!$L536</f>
        <v>4563.3451957295374</v>
      </c>
      <c r="AP16" s="30">
        <f>Data!$L550</f>
        <v>4653.0249110320283</v>
      </c>
      <c r="AQ16" s="30">
        <f>Data!$L564</f>
        <v>4736.7734282325027</v>
      </c>
      <c r="AR16" s="30">
        <f>Data!$L578</f>
        <v>4841.1625148279954</v>
      </c>
      <c r="AS16" s="30">
        <f>Data!$L592</f>
        <v>4913.4045077105575</v>
      </c>
      <c r="AT16" s="30">
        <f>Data!$L606</f>
        <v>5003.9145907473312</v>
      </c>
      <c r="AU16" s="30">
        <f>Data!$L620</f>
        <v>5175.2075919335712</v>
      </c>
      <c r="AV16" s="30">
        <f>Data!$L634</f>
        <v>5242.8232502965602</v>
      </c>
      <c r="AW16" s="30">
        <f>Data!$L648</f>
        <v>5311.3879003558723</v>
      </c>
      <c r="AX16" s="30">
        <f>Data!$L662</f>
        <v>5396.7971530249115</v>
      </c>
      <c r="AY16" s="30">
        <f>Data!$L676</f>
        <v>5473.4282325029653</v>
      </c>
      <c r="AZ16" s="30">
        <f>Data!$L690</f>
        <v>5556.1091340450776</v>
      </c>
      <c r="BA16" s="30">
        <f>Data!$L704</f>
        <v>5692.0521945432984</v>
      </c>
      <c r="BB16" s="30">
        <f>Data!$L718</f>
        <v>5764.887307236062</v>
      </c>
      <c r="BC16" s="30">
        <f>Data!$L732</f>
        <v>5829.0628706998814</v>
      </c>
      <c r="BD16" s="30">
        <f>Data!$L746</f>
        <v>5895.8481613285885</v>
      </c>
      <c r="BE16" s="30">
        <f>Data!$L760</f>
        <v>5958.7188612099644</v>
      </c>
      <c r="BF16" s="30">
        <f>Data!$L774</f>
        <v>6008.422301304864</v>
      </c>
      <c r="BG16" s="30">
        <f>Data!$L788</f>
        <v>6091.8149466192172</v>
      </c>
      <c r="BH16" s="30">
        <f>Data!$L802</f>
        <v>6120.1660735468568</v>
      </c>
      <c r="BI16" s="30">
        <f>Data!$L816</f>
        <v>6154.6856465005931</v>
      </c>
      <c r="BJ16" s="30">
        <f>Data!$L830</f>
        <v>6185.4092526690392</v>
      </c>
      <c r="BK16" s="30">
        <f>Data!$L844</f>
        <v>6215.6583629893239</v>
      </c>
      <c r="BL16" s="30">
        <f>Data!$L858</f>
        <v>6242.4673784104389</v>
      </c>
    </row>
    <row r="17" spans="2:64" x14ac:dyDescent="0.3">
      <c r="B17" t="str">
        <f t="shared" si="1"/>
        <v>BC</v>
      </c>
      <c r="C17" s="30">
        <f>Data!L5</f>
        <v>157.76892430278886</v>
      </c>
      <c r="D17" s="30">
        <f>Data!L19</f>
        <v>176.09561752988049</v>
      </c>
      <c r="E17" s="30">
        <f>Data!L33</f>
        <v>193.22709163346616</v>
      </c>
      <c r="F17" s="30">
        <f>Data!$L47</f>
        <v>201.79282868525897</v>
      </c>
      <c r="G17" s="30">
        <f>Data!$L61</f>
        <v>212.35059760956176</v>
      </c>
      <c r="H17" s="30">
        <f>Data!$L75</f>
        <v>223.30677290836655</v>
      </c>
      <c r="I17" s="30">
        <f>Data!$L89</f>
        <v>233.86454183266935</v>
      </c>
      <c r="J17" s="30">
        <f>Data!$L103</f>
        <v>239.64143426294822</v>
      </c>
      <c r="K17" s="30">
        <f>Data!$L117</f>
        <v>252.19123505976097</v>
      </c>
      <c r="L17" s="30">
        <f>Data!$L131</f>
        <v>257.17131474103587</v>
      </c>
      <c r="M17" s="30">
        <f>Data!$L145</f>
        <v>266.13545816733068</v>
      </c>
      <c r="N17" s="30">
        <f>Data!$L159</f>
        <v>274.10358565737056</v>
      </c>
      <c r="O17" s="30">
        <f>Data!$L173</f>
        <v>280.8764940239044</v>
      </c>
      <c r="P17" s="30">
        <f>Data!$L187</f>
        <v>287.84860557768928</v>
      </c>
      <c r="Q17" s="30">
        <f>Data!$L201</f>
        <v>296.81274900398409</v>
      </c>
      <c r="R17" s="30">
        <f>Data!$L215</f>
        <v>302.19123505976097</v>
      </c>
      <c r="S17" s="30">
        <f>Data!$L229</f>
        <v>310.95617529880479</v>
      </c>
      <c r="T17" s="30">
        <f>Data!$L243</f>
        <v>313.74501992031873</v>
      </c>
      <c r="U17" s="30">
        <f>Data!$L257</f>
        <v>322.31075697211156</v>
      </c>
      <c r="V17" s="30">
        <f>Data!$L271</f>
        <v>328.08764940239047</v>
      </c>
      <c r="W17" s="30">
        <f>Data!$L285</f>
        <v>338.44621513944224</v>
      </c>
      <c r="X17" s="30">
        <f>Data!$L299</f>
        <v>343.42629482071715</v>
      </c>
      <c r="Y17" s="30">
        <f>Data!$L313</f>
        <v>357.5697211155379</v>
      </c>
      <c r="Z17" s="30">
        <f>Data!$L327</f>
        <v>363.34661354581675</v>
      </c>
      <c r="AA17" s="30">
        <f>Data!$L341</f>
        <v>369.12350597609566</v>
      </c>
      <c r="AB17" s="30">
        <f>Data!$L355</f>
        <v>388.04780876494027</v>
      </c>
      <c r="AC17" s="30">
        <f>Data!$L369</f>
        <v>398.00796812749007</v>
      </c>
      <c r="AD17" s="30">
        <f>Data!$L383</f>
        <v>408.96414342629487</v>
      </c>
      <c r="AE17" s="30">
        <f>Data!$L397</f>
        <v>415.73705179282871</v>
      </c>
      <c r="AF17" s="30">
        <f>Data!$L411</f>
        <v>420.71713147410361</v>
      </c>
      <c r="AG17" s="30">
        <f>Data!$L425</f>
        <v>420.71713147410361</v>
      </c>
      <c r="AH17" s="30">
        <f>Data!$L439</f>
        <v>427.29083665338646</v>
      </c>
      <c r="AI17" s="30">
        <f>Data!$L453</f>
        <v>443.02788844621517</v>
      </c>
      <c r="AJ17" s="30">
        <f>Data!$L467</f>
        <v>444.62151394422312</v>
      </c>
      <c r="AK17" s="30">
        <f>Data!$L481</f>
        <v>449.20318725099605</v>
      </c>
      <c r="AL17" s="30">
        <f>Data!$L495</f>
        <v>455.77689243027891</v>
      </c>
      <c r="AM17" s="30">
        <f>Data!$L509</f>
        <v>461.15537848605584</v>
      </c>
      <c r="AN17" s="30">
        <f>Data!$L523</f>
        <v>464.14342629482076</v>
      </c>
      <c r="AO17" s="30">
        <f>Data!$L537</f>
        <v>468.72509960159368</v>
      </c>
      <c r="AP17" s="30">
        <f>Data!$L551</f>
        <v>470.11952191235065</v>
      </c>
      <c r="AQ17" s="30">
        <f>Data!$L565</f>
        <v>473.30677290836655</v>
      </c>
      <c r="AR17" s="30">
        <f>Data!$L579</f>
        <v>476.49402390438252</v>
      </c>
      <c r="AS17" s="30">
        <f>Data!$L593</f>
        <v>479.48207171314743</v>
      </c>
      <c r="AT17" s="30">
        <f>Data!$L607</f>
        <v>483.66533864541839</v>
      </c>
      <c r="AU17" s="30">
        <f>Data!$L621</f>
        <v>486.85258964143429</v>
      </c>
      <c r="AV17" s="30">
        <f>Data!$L635</f>
        <v>487.25099601593632</v>
      </c>
      <c r="AW17" s="30">
        <f>Data!$L649</f>
        <v>491.43426294820722</v>
      </c>
      <c r="AX17" s="30">
        <f>Data!$L663</f>
        <v>493.82470119521918</v>
      </c>
      <c r="AY17" s="30">
        <f>Data!$L677</f>
        <v>499.40239043824704</v>
      </c>
      <c r="AZ17" s="30">
        <f>Data!$L691</f>
        <v>501.39442231075702</v>
      </c>
      <c r="BA17" s="30">
        <f>Data!$L705</f>
        <v>503.78486055776898</v>
      </c>
      <c r="BB17" s="30">
        <f>Data!$L719</f>
        <v>506.17529880478094</v>
      </c>
      <c r="BC17" s="30">
        <f>Data!$L733</f>
        <v>507.96812749003988</v>
      </c>
      <c r="BD17" s="30">
        <f>Data!$L747</f>
        <v>509.56175298804783</v>
      </c>
      <c r="BE17" s="30">
        <f>Data!$L761</f>
        <v>510.35856573705183</v>
      </c>
      <c r="BF17" s="30">
        <f>Data!$L775</f>
        <v>512.54980079681275</v>
      </c>
      <c r="BG17" s="30">
        <f>Data!$L789</f>
        <v>517.33067729083666</v>
      </c>
      <c r="BH17" s="30">
        <f>Data!$L803</f>
        <v>518.12749003984072</v>
      </c>
      <c r="BI17" s="30">
        <f>Data!$L817</f>
        <v>522.50996015936255</v>
      </c>
      <c r="BJ17" s="30">
        <f>Data!$L831</f>
        <v>524.30278884462155</v>
      </c>
      <c r="BK17" s="30">
        <f>Data!$L845</f>
        <v>524.30278884462155</v>
      </c>
      <c r="BL17" s="30">
        <f>Data!$L859</f>
        <v>524.30278884462155</v>
      </c>
    </row>
    <row r="18" spans="2:64" x14ac:dyDescent="0.3">
      <c r="B18" t="str">
        <f t="shared" si="1"/>
        <v>Alberta</v>
      </c>
      <c r="C18" s="30">
        <f>Data!L6</f>
        <v>124.88479262672811</v>
      </c>
      <c r="D18" s="30">
        <f>Data!L20</f>
        <v>143.08755760368663</v>
      </c>
      <c r="E18" s="30">
        <f>Data!L34</f>
        <v>158.98617511520737</v>
      </c>
      <c r="F18" s="30">
        <f>Data!$L48</f>
        <v>173.73271889400922</v>
      </c>
      <c r="G18" s="30">
        <f>Data!$L62</f>
        <v>200.69124423963135</v>
      </c>
      <c r="H18" s="30">
        <f>Data!$L76</f>
        <v>223.04147465437788</v>
      </c>
      <c r="I18" s="30">
        <f>Data!$L90</f>
        <v>227.18894009216589</v>
      </c>
      <c r="J18" s="30">
        <f>Data!$L104</f>
        <v>272.11981566820276</v>
      </c>
      <c r="K18" s="30">
        <f>Data!$L118</f>
        <v>288.0184331797235</v>
      </c>
      <c r="L18" s="30">
        <f>Data!$L132</f>
        <v>316.35944700460828</v>
      </c>
      <c r="M18" s="30">
        <f>Data!$L146</f>
        <v>327.88018433179724</v>
      </c>
      <c r="N18" s="30">
        <f>Data!$L160</f>
        <v>334.33179723502303</v>
      </c>
      <c r="O18" s="30">
        <f>Data!$L174</f>
        <v>345.62211981566821</v>
      </c>
      <c r="P18" s="30">
        <f>Data!$L188</f>
        <v>361.52073732718895</v>
      </c>
      <c r="Q18" s="30">
        <f>Data!$L202</f>
        <v>399.07834101382491</v>
      </c>
      <c r="R18" s="30">
        <f>Data!$L216</f>
        <v>430.87557603686639</v>
      </c>
      <c r="S18" s="30">
        <f>Data!$L230</f>
        <v>459.90783410138249</v>
      </c>
      <c r="T18" s="30">
        <f>Data!$L244</f>
        <v>497.23502304147468</v>
      </c>
      <c r="U18" s="30">
        <f>Data!$L258</f>
        <v>552.30414746543784</v>
      </c>
      <c r="V18" s="30">
        <f>Data!$L272</f>
        <v>590.32258064516134</v>
      </c>
      <c r="W18" s="30">
        <f>Data!$L286</f>
        <v>670.04608294930881</v>
      </c>
      <c r="X18" s="30">
        <f>Data!$L300</f>
        <v>713.13364055299542</v>
      </c>
      <c r="Y18" s="30">
        <f>Data!$L314</f>
        <v>783.64055299539177</v>
      </c>
      <c r="Z18" s="30">
        <f>Data!$L328</f>
        <v>857.14285714285722</v>
      </c>
      <c r="AA18" s="30">
        <f>Data!$L342</f>
        <v>925.57603686635946</v>
      </c>
      <c r="AB18" s="30">
        <f>Data!$L356</f>
        <v>973.04147465437791</v>
      </c>
      <c r="AC18" s="30">
        <f>Data!$L370</f>
        <v>1082.0276497695852</v>
      </c>
      <c r="AD18" s="30">
        <f>Data!$L384</f>
        <v>1117.5115207373271</v>
      </c>
      <c r="AE18" s="30">
        <f>Data!$L398</f>
        <v>1190.0921658986176</v>
      </c>
      <c r="AF18" s="30">
        <f>Data!$L412</f>
        <v>1233.8709677419356</v>
      </c>
      <c r="AG18" s="30">
        <f>Data!$L426</f>
        <v>1284.1013824884792</v>
      </c>
      <c r="AH18" s="30">
        <f>Data!$L440</f>
        <v>1306.4516129032259</v>
      </c>
      <c r="AI18" s="30">
        <f>Data!$L454</f>
        <v>1350.9216589861751</v>
      </c>
      <c r="AJ18" s="30">
        <f>Data!$L468</f>
        <v>1357.8341013824886</v>
      </c>
      <c r="AK18" s="30">
        <f>Data!$L482</f>
        <v>1373.963133640553</v>
      </c>
      <c r="AL18" s="30">
        <f>Data!$L496</f>
        <v>1386.405529953917</v>
      </c>
      <c r="AM18" s="30">
        <f>Data!$L510</f>
        <v>1405.0691244239631</v>
      </c>
      <c r="AN18" s="30">
        <f>Data!$L524</f>
        <v>1418.6635944700461</v>
      </c>
      <c r="AO18" s="30">
        <f>Data!$L538</f>
        <v>1451.6129032258066</v>
      </c>
      <c r="AP18" s="30">
        <f>Data!$L552</f>
        <v>1461.9815668202766</v>
      </c>
      <c r="AQ18" s="30">
        <f>Data!$L566</f>
        <v>1476.2672811059908</v>
      </c>
      <c r="AR18" s="30">
        <f>Data!$L580</f>
        <v>1487.7880184331798</v>
      </c>
      <c r="AS18" s="30">
        <f>Data!$L594</f>
        <v>1501.1520737327189</v>
      </c>
      <c r="AT18" s="30">
        <f>Data!$L608</f>
        <v>1517.741935483871</v>
      </c>
      <c r="AU18" s="30">
        <f>Data!$L622</f>
        <v>1539.8617511520738</v>
      </c>
      <c r="AV18" s="30">
        <f>Data!$L636</f>
        <v>1547.4654377880186</v>
      </c>
      <c r="AW18" s="30">
        <f>Data!$L650</f>
        <v>1551.8433179723502</v>
      </c>
      <c r="AX18" s="30">
        <f>Data!$L664</f>
        <v>1559.4470046082949</v>
      </c>
      <c r="AY18" s="30">
        <f>Data!$L678</f>
        <v>1566.8202764976959</v>
      </c>
      <c r="AZ18" s="30">
        <f>Data!$L692</f>
        <v>1570.9677419354839</v>
      </c>
      <c r="BA18" s="30">
        <f>Data!$L706</f>
        <v>1585.0230414746545</v>
      </c>
      <c r="BB18" s="30">
        <f>Data!$L720</f>
        <v>1590.0921658986176</v>
      </c>
      <c r="BC18" s="30">
        <f>Data!$L734</f>
        <v>1595.852534562212</v>
      </c>
      <c r="BD18" s="30">
        <f>Data!$L748</f>
        <v>1602.5345622119817</v>
      </c>
      <c r="BE18" s="30">
        <f>Data!$L762</f>
        <v>1608.0645161290322</v>
      </c>
      <c r="BF18" s="30">
        <f>Data!$L776</f>
        <v>1611.0599078341015</v>
      </c>
      <c r="BG18" s="30">
        <f>Data!$L790</f>
        <v>1623.0414746543779</v>
      </c>
      <c r="BH18" s="30">
        <f>Data!$L804</f>
        <v>1626.036866359447</v>
      </c>
      <c r="BI18" s="30">
        <f>Data!$L818</f>
        <v>1630.4147465437788</v>
      </c>
      <c r="BJ18" s="30">
        <f>Data!$L832</f>
        <v>1633.8709677419356</v>
      </c>
      <c r="BK18" s="30">
        <f>Data!$L846</f>
        <v>1635.483870967742</v>
      </c>
      <c r="BL18" s="30">
        <f>Data!$L860</f>
        <v>1644.7004608294931</v>
      </c>
    </row>
    <row r="19" spans="2:64" x14ac:dyDescent="0.3">
      <c r="B19" t="str">
        <f t="shared" si="1"/>
        <v>Manitoba</v>
      </c>
      <c r="C19" s="30">
        <f>Data!L7</f>
        <v>28.676470588235293</v>
      </c>
      <c r="D19" s="30">
        <f>Data!L21</f>
        <v>47.058823529411761</v>
      </c>
      <c r="E19" s="30">
        <f>Data!L35</f>
        <v>70.588235294117638</v>
      </c>
      <c r="F19" s="30">
        <f>Data!$L49</f>
        <v>75.735294117647058</v>
      </c>
      <c r="G19" s="30">
        <f>Data!$L63</f>
        <v>93.382352941176464</v>
      </c>
      <c r="H19" s="30">
        <f>Data!$L77</f>
        <v>122.79411764705881</v>
      </c>
      <c r="I19" s="30">
        <f>Data!$L91</f>
        <v>133.8235294117647</v>
      </c>
      <c r="J19" s="30">
        <f>Data!$L105</f>
        <v>142.64705882352939</v>
      </c>
      <c r="K19" s="30">
        <f>Data!$L119</f>
        <v>150</v>
      </c>
      <c r="L19" s="30">
        <f>Data!$L133</f>
        <v>159.55882352941174</v>
      </c>
      <c r="M19" s="30">
        <f>Data!$L147</f>
        <v>162.5</v>
      </c>
      <c r="N19" s="30">
        <f>Data!$L161</f>
        <v>164.70588235294116</v>
      </c>
      <c r="O19" s="30">
        <f>Data!$L175</f>
        <v>169.11764705882351</v>
      </c>
      <c r="P19" s="30">
        <f>Data!$L189</f>
        <v>178.67647058823528</v>
      </c>
      <c r="Q19" s="30">
        <f>Data!$L203</f>
        <v>180.88235294117646</v>
      </c>
      <c r="R19" s="30">
        <f>Data!$L217</f>
        <v>180.88235294117646</v>
      </c>
      <c r="S19" s="30">
        <f>Data!$L231</f>
        <v>180.88235294117646</v>
      </c>
      <c r="T19" s="30">
        <f>Data!$L245</f>
        <v>183.8235294117647</v>
      </c>
      <c r="U19" s="30">
        <f>Data!$L259</f>
        <v>183.8235294117647</v>
      </c>
      <c r="V19" s="30">
        <f>Data!$L273</f>
        <v>186.02941176470586</v>
      </c>
      <c r="W19" s="30">
        <f>Data!$L287</f>
        <v>186.76470588235293</v>
      </c>
      <c r="X19" s="30">
        <f>Data!$L301</f>
        <v>187.5</v>
      </c>
      <c r="Y19" s="30">
        <f>Data!$L315</f>
        <v>188.97058823529412</v>
      </c>
      <c r="Z19" s="30">
        <f>Data!$L329</f>
        <v>192.64705882352939</v>
      </c>
      <c r="AA19" s="30">
        <f>Data!$L343</f>
        <v>193.38235294117646</v>
      </c>
      <c r="AB19" s="30">
        <f>Data!$L357</f>
        <v>196.3235294117647</v>
      </c>
      <c r="AC19" s="30">
        <f>Data!$L371</f>
        <v>199.99999999999997</v>
      </c>
      <c r="AD19" s="30">
        <f>Data!$L385</f>
        <v>199.99999999999997</v>
      </c>
      <c r="AE19" s="30">
        <f>Data!$L399</f>
        <v>200.73529411764704</v>
      </c>
      <c r="AF19" s="30">
        <f>Data!$L413</f>
        <v>202.20588235294116</v>
      </c>
      <c r="AG19" s="30">
        <f>Data!$L427</f>
        <v>205.14705882352939</v>
      </c>
      <c r="AH19" s="30">
        <f>Data!$L441</f>
        <v>205.88235294117646</v>
      </c>
      <c r="AI19" s="30">
        <f>Data!$L455</f>
        <v>206.61764705882351</v>
      </c>
      <c r="AJ19" s="30">
        <f>Data!$L469</f>
        <v>207.35294117647058</v>
      </c>
      <c r="AK19" s="30">
        <f>Data!$L483</f>
        <v>208.08823529411762</v>
      </c>
      <c r="AL19" s="30">
        <f>Data!$L497</f>
        <v>208.8235294117647</v>
      </c>
      <c r="AM19" s="30">
        <f>Data!$L511</f>
        <v>208.8235294117647</v>
      </c>
      <c r="AN19" s="30">
        <f>Data!$L525</f>
        <v>208.8235294117647</v>
      </c>
      <c r="AO19" s="30">
        <f>Data!$L539</f>
        <v>212.49999999999997</v>
      </c>
      <c r="AP19" s="30">
        <f>Data!$L553</f>
        <v>213.23529411764704</v>
      </c>
      <c r="AQ19" s="30">
        <f>Data!$L567</f>
        <v>213.23529411764704</v>
      </c>
      <c r="AR19" s="30">
        <f>Data!$L581</f>
        <v>212.49999999999997</v>
      </c>
      <c r="AS19" s="30">
        <f>Data!$L595</f>
        <v>212.49999999999997</v>
      </c>
      <c r="AT19" s="30">
        <f>Data!$L609</f>
        <v>212.49999999999997</v>
      </c>
      <c r="AU19" s="30">
        <f>Data!$L623</f>
        <v>213.23529411764704</v>
      </c>
      <c r="AV19" s="30">
        <f>Data!$L637</f>
        <v>213.23529411764704</v>
      </c>
      <c r="AW19" s="30">
        <f>Data!$L651</f>
        <v>213.23529411764704</v>
      </c>
      <c r="AX19" s="30">
        <f>Data!$L665</f>
        <v>213.23529411764704</v>
      </c>
      <c r="AY19" s="30">
        <f>Data!$L679</f>
        <v>214.70588235294116</v>
      </c>
      <c r="AZ19" s="30">
        <f>Data!$L693</f>
        <v>214.70588235294116</v>
      </c>
      <c r="BA19" s="30">
        <f>Data!$L707</f>
        <v>214.70588235294116</v>
      </c>
      <c r="BB19" s="30">
        <f>Data!$L721</f>
        <v>214.70588235294116</v>
      </c>
      <c r="BC19" s="30">
        <f>Data!$L735</f>
        <v>214.70588235294116</v>
      </c>
      <c r="BD19" s="30">
        <f>Data!$L749</f>
        <v>216.17647058823528</v>
      </c>
      <c r="BE19" s="30">
        <f>Data!$L763</f>
        <v>216.17647058823528</v>
      </c>
      <c r="BF19" s="30">
        <f>Data!$L777</f>
        <v>216.17647058823528</v>
      </c>
      <c r="BG19" s="30">
        <f>Data!$L791</f>
        <v>216.91176470588235</v>
      </c>
      <c r="BH19" s="30">
        <f>Data!$L805</f>
        <v>218.38235294117646</v>
      </c>
      <c r="BI19" s="30">
        <f>Data!$L819</f>
        <v>219.11764705882351</v>
      </c>
      <c r="BJ19" s="30">
        <f>Data!$L833</f>
        <v>219.11764705882351</v>
      </c>
      <c r="BK19" s="30">
        <f>Data!$L847</f>
        <v>220.58823529411762</v>
      </c>
      <c r="BL19" s="30">
        <f>Data!$L861</f>
        <v>220.58823529411762</v>
      </c>
    </row>
    <row r="20" spans="2:64" x14ac:dyDescent="0.3">
      <c r="B20" t="str">
        <f t="shared" si="1"/>
        <v>Sask</v>
      </c>
      <c r="C20" s="30">
        <f>Data!L8</f>
        <v>88.8888888888889</v>
      </c>
      <c r="D20" s="30">
        <f>Data!L22</f>
        <v>114.52991452991454</v>
      </c>
      <c r="E20" s="30">
        <f>Data!L36</f>
        <v>150.42735042735043</v>
      </c>
      <c r="F20" s="30">
        <f>Data!$L50</f>
        <v>157.26495726495727</v>
      </c>
      <c r="G20" s="30">
        <f>Data!$L64</f>
        <v>164.95726495726495</v>
      </c>
      <c r="H20" s="30">
        <f>Data!$L78</f>
        <v>176.06837606837607</v>
      </c>
      <c r="I20" s="30">
        <f>Data!$L92</f>
        <v>188.03418803418805</v>
      </c>
      <c r="J20" s="30">
        <f>Data!$L106</f>
        <v>197.43589743589746</v>
      </c>
      <c r="K20" s="30">
        <f>Data!$L120</f>
        <v>216.23931623931625</v>
      </c>
      <c r="L20" s="30">
        <f>Data!$L134</f>
        <v>222.22222222222223</v>
      </c>
      <c r="M20" s="30">
        <f>Data!$L148</f>
        <v>231.62393162393164</v>
      </c>
      <c r="N20" s="30">
        <f>Data!$L162</f>
        <v>237.60683760683762</v>
      </c>
      <c r="O20" s="30">
        <f>Data!$L176</f>
        <v>243.58974358974359</v>
      </c>
      <c r="P20" s="30">
        <f>Data!$L190</f>
        <v>247.00854700854703</v>
      </c>
      <c r="Q20" s="30">
        <f>Data!$L204</f>
        <v>256.41025641025641</v>
      </c>
      <c r="R20" s="30">
        <f>Data!$L218</f>
        <v>257.26495726495727</v>
      </c>
      <c r="S20" s="30">
        <f>Data!$L232</f>
        <v>259.82905982905987</v>
      </c>
      <c r="T20" s="30">
        <f>Data!$L246</f>
        <v>260.68376068376068</v>
      </c>
      <c r="U20" s="30">
        <f>Data!$L260</f>
        <v>262.39316239316241</v>
      </c>
      <c r="V20" s="30">
        <f>Data!$L274</f>
        <v>267.52136752136755</v>
      </c>
      <c r="W20" s="30">
        <f>Data!$L288</f>
        <v>270.08547008547009</v>
      </c>
      <c r="X20" s="30">
        <f>Data!$L302</f>
        <v>273.5042735042735</v>
      </c>
      <c r="Y20" s="30">
        <f>Data!$L316</f>
        <v>278.63247863247864</v>
      </c>
      <c r="Z20" s="30">
        <f>Data!$L330</f>
        <v>282.90598290598291</v>
      </c>
      <c r="AA20" s="30">
        <f>Data!$L344</f>
        <v>291.45299145299145</v>
      </c>
      <c r="AB20" s="30">
        <f>Data!$L358</f>
        <v>298.29059829059833</v>
      </c>
      <c r="AC20" s="30">
        <f>Data!$L372</f>
        <v>311.96581196581201</v>
      </c>
      <c r="AD20" s="30">
        <f>Data!$L386</f>
        <v>312.82051282051282</v>
      </c>
      <c r="AE20" s="30">
        <f>Data!$L400</f>
        <v>327.35042735042737</v>
      </c>
      <c r="AF20" s="30">
        <f>Data!$L414</f>
        <v>332.47863247863251</v>
      </c>
      <c r="AG20" s="30">
        <f>Data!$L428</f>
        <v>354.70085470085473</v>
      </c>
      <c r="AH20" s="30">
        <f>Data!$L442</f>
        <v>359.82905982905987</v>
      </c>
      <c r="AI20" s="30">
        <f>Data!$L456</f>
        <v>399.14529914529919</v>
      </c>
      <c r="AJ20" s="30">
        <f>Data!$L470</f>
        <v>416.23931623931628</v>
      </c>
      <c r="AK20" s="30">
        <f>Data!$L484</f>
        <v>437.60683760683764</v>
      </c>
      <c r="AL20" s="30">
        <f>Data!$L498</f>
        <v>453.84615384615387</v>
      </c>
      <c r="AM20" s="30">
        <f>Data!$L512</f>
        <v>464.95726495726501</v>
      </c>
      <c r="AN20" s="30">
        <f>Data!$L526</f>
        <v>472.64957264957269</v>
      </c>
      <c r="AO20" s="30">
        <f>Data!$L540</f>
        <v>485.47008547008551</v>
      </c>
      <c r="AP20" s="30">
        <f>Data!$L554</f>
        <v>489.74358974358978</v>
      </c>
      <c r="AQ20" s="30">
        <f>Data!$L568</f>
        <v>493.16239316239319</v>
      </c>
      <c r="AR20" s="30">
        <f>Data!$L582</f>
        <v>497.43589743589746</v>
      </c>
      <c r="AS20" s="30">
        <f>Data!$L596</f>
        <v>504.27350427350433</v>
      </c>
      <c r="AT20" s="30">
        <f>Data!$L610</f>
        <v>505.12820512820514</v>
      </c>
      <c r="AU20" s="30">
        <f>Data!$L624</f>
        <v>505.982905982906</v>
      </c>
      <c r="AV20" s="30">
        <f>Data!$L638</f>
        <v>511.96581196581201</v>
      </c>
      <c r="AW20" s="30">
        <f>Data!$L652</f>
        <v>529.91452991452991</v>
      </c>
      <c r="AX20" s="30">
        <f>Data!$L666</f>
        <v>531.62393162393164</v>
      </c>
      <c r="AY20" s="30">
        <f>Data!$L680</f>
        <v>535.89743589743591</v>
      </c>
      <c r="AZ20" s="30">
        <f>Data!$L694</f>
        <v>538.46153846153845</v>
      </c>
      <c r="BA20" s="30">
        <f>Data!$L708</f>
        <v>541.88034188034192</v>
      </c>
      <c r="BB20" s="30">
        <f>Data!$L722</f>
        <v>541.88034188034192</v>
      </c>
      <c r="BC20" s="30">
        <f>Data!$L736</f>
        <v>544.44444444444446</v>
      </c>
      <c r="BD20" s="30">
        <f>Data!$L750</f>
        <v>546.15384615384619</v>
      </c>
      <c r="BE20" s="30">
        <f>Data!$L764</f>
        <v>547.86324786324792</v>
      </c>
      <c r="BF20" s="30">
        <f>Data!$L778</f>
        <v>551.28205128205127</v>
      </c>
      <c r="BG20" s="30">
        <f>Data!$L792</f>
        <v>552.13675213675219</v>
      </c>
      <c r="BH20" s="30">
        <f>Data!$L806</f>
        <v>552.13675213675219</v>
      </c>
      <c r="BI20" s="30">
        <f>Data!$L820</f>
        <v>552.991452991453</v>
      </c>
      <c r="BJ20" s="30">
        <f>Data!$L834</f>
        <v>553.84615384615392</v>
      </c>
      <c r="BK20" s="30">
        <f>Data!$L848</f>
        <v>554.70085470085473</v>
      </c>
      <c r="BL20" s="30">
        <f>Data!$L862</f>
        <v>555.55555555555554</v>
      </c>
    </row>
    <row r="21" spans="2:64" x14ac:dyDescent="0.3">
      <c r="B21" t="str">
        <f t="shared" si="1"/>
        <v>Maritimes</v>
      </c>
      <c r="C21" s="30">
        <f>(Data!C9+Data!C10+Data!C11)/(Data!D9+Data!D10+Data!D11)</f>
        <v>76.150185087255423</v>
      </c>
      <c r="D21" s="30">
        <f>(Data!C23+Data!C24+Data!C25)/(Data!D23+Data!D24+Data!D25)</f>
        <v>97.303014278159708</v>
      </c>
      <c r="E21" s="30">
        <f>(Data!C37+Data!C38+Data!C39)/(Data!D37+Data!D38+Data!D39)</f>
        <v>112.63881544156531</v>
      </c>
      <c r="F21" s="30">
        <f>(Data!$C51+Data!$C52+Data!$C53)/(Data!$D51+Data!$D52+Data!$D53)</f>
        <v>125.85933368588049</v>
      </c>
      <c r="G21" s="30">
        <f>(Data!$C65+Data!$C66+Data!$C67)/(Data!$D51+Data!$D52+Data!$D53)</f>
        <v>145.42570068746696</v>
      </c>
      <c r="H21" s="30">
        <f>(Data!$C79+Data!$C80+Data!$C81)/(Data!$D51+Data!$D52+Data!$D53)</f>
        <v>161.81914331041776</v>
      </c>
      <c r="I21" s="30">
        <f>(Data!$C93+Data!$C94+Data!$C95)/(Data!$D51+Data!$D52+Data!$D53)</f>
        <v>171.3379164463247</v>
      </c>
      <c r="J21" s="30">
        <f>(Data!$C107+Data!$C108+Data!$C109)/(Data!$D51+Data!$D52+Data!$D53)</f>
        <v>188.26017979904813</v>
      </c>
      <c r="K21" s="30">
        <f>(Data!$C121+Data!$C122+Data!$C123)/(Data!$D51+Data!$D52+Data!$D53)</f>
        <v>221.04706504494976</v>
      </c>
      <c r="L21" s="30">
        <f>(Data!$C135+Data!$C136+Data!$C137)/(Data!$D51+Data!$D52+Data!$D53)</f>
        <v>231.09465891062931</v>
      </c>
      <c r="M21" s="30">
        <f>(Data!$C149+Data!$C150+Data!$C151)/(Data!$D51+Data!$D52+Data!$D53)</f>
        <v>250.66102591221576</v>
      </c>
      <c r="N21" s="30">
        <f>(Data!$C163+Data!$C164+Data!$C165)/(Data!$D51+Data!$D52+Data!$D53)</f>
        <v>269.16975145425698</v>
      </c>
      <c r="O21" s="30">
        <f>(Data!$C177+Data!$C178+Data!$C179)/(Data!$D51+Data!$D52+Data!$D53)</f>
        <v>287.67847699629823</v>
      </c>
      <c r="P21" s="30">
        <f>(Data!$C191+Data!$C192+Data!$C193)/(Data!$D51+Data!$D52+Data!$D53)</f>
        <v>298.78371232152301</v>
      </c>
      <c r="Q21" s="30">
        <f>(Data!$C205+Data!$C206+Data!$C207)/(Data!$D51+Data!$D52+Data!$D53)</f>
        <v>325.22474881015336</v>
      </c>
      <c r="R21" s="30">
        <f>(Data!$C219+Data!$C220+Data!$C221)/(Data!$D51+Data!$D52+Data!$D53)</f>
        <v>347.96404019037544</v>
      </c>
      <c r="S21" s="30">
        <f>(Data!$C233+Data!$C234+Data!$C235)/(Data!$D51+Data!$D52+Data!$D53)</f>
        <v>365.94394500264411</v>
      </c>
      <c r="T21" s="30">
        <f>(Data!$C247+Data!$C248+Data!$C249)/(Data!$D51+Data!$D52+Data!$D53)</f>
        <v>381.80856689582231</v>
      </c>
      <c r="U21" s="30">
        <f>(Data!$C261+Data!$C262+Data!$C263)/(Data!$D51+Data!$D52+Data!$D53)</f>
        <v>396.08672659968272</v>
      </c>
      <c r="V21" s="30">
        <f>(Data!$C275+Data!$C276+Data!$C277)/(Data!$D51+Data!$D52+Data!$D53)</f>
        <v>419.35483870967744</v>
      </c>
      <c r="W21" s="30">
        <f>(Data!$C289+Data!$C290+Data!$C291)/(Data!$D51+Data!$D52+Data!$D53)</f>
        <v>457.42993125330514</v>
      </c>
      <c r="X21" s="30">
        <f>(Data!$C303+Data!$C304+Data!$C305)/(Data!$D51+Data!$D52+Data!$D53)</f>
        <v>465.89106292966682</v>
      </c>
      <c r="Y21" s="30">
        <f>(Data!$C317+Data!$C318+Data!$C319)/(Data!$D51+Data!$D52+Data!$D53)</f>
        <v>484.39978847170806</v>
      </c>
      <c r="Z21" s="30">
        <f>(Data!$C331+Data!$C332+Data!$C333)/(Data!$D51+Data!$D52+Data!$D53)</f>
        <v>513.48492860920146</v>
      </c>
      <c r="AA21" s="30">
        <f>(Data!$C345+Data!$C346+Data!$C347)/(Data!$D51+Data!$D52+Data!$D53)</f>
        <v>525.64780539397145</v>
      </c>
      <c r="AB21" s="30">
        <f>(Data!$C359+Data!$C360+Data!$C361)/(Data!$D51+Data!$D52+Data!$D53)</f>
        <v>533.58011634056049</v>
      </c>
      <c r="AC21" s="30">
        <f>(Data!$C373+Data!$C374+Data!$C375)/(Data!$D51+Data!$D52+Data!$D53)</f>
        <v>552.08884188260174</v>
      </c>
      <c r="AD21" s="30">
        <f>(Data!$C387+Data!$C388+Data!$C389)/(Data!$D51+Data!$D52+Data!$D53)</f>
        <v>560.0211528291909</v>
      </c>
      <c r="AE21" s="30">
        <f>(Data!$C401+Data!$C402+Data!$C403)/(Data!$D51+Data!$D52+Data!$D53)</f>
        <v>571.12638815441562</v>
      </c>
      <c r="AF21" s="30">
        <f>(Data!$C415+Data!$C416+Data!$C417)/(Data!$D51+Data!$D52+Data!$D53)</f>
        <v>577.47223691168688</v>
      </c>
      <c r="AG21" s="30">
        <f>(Data!$C429+Data!$C430+Data!$C431)/(Data!$D51+Data!$D52+Data!$D53)</f>
        <v>583.81808566895825</v>
      </c>
      <c r="AH21" s="30">
        <f>(Data!$C443+Data!$C444+Data!$C445)/(Data!$D51+Data!$D52+Data!$D53)</f>
        <v>585.93336858804867</v>
      </c>
      <c r="AI21" s="30">
        <f>(Data!$C457+Data!$C458+Data!$C459)/(Data!$D51+Data!$D52+Data!$D53)</f>
        <v>597.56742464304602</v>
      </c>
      <c r="AJ21" s="30">
        <f>(Data!$C471+Data!$C472+Data!$C473)/(Data!$D51+Data!$D52+Data!$D53)</f>
        <v>601.26916975145423</v>
      </c>
      <c r="AK21" s="30">
        <f>(Data!$C485+Data!$C486+Data!$C487)/(Data!$D51+Data!$D52+Data!$D53)</f>
        <v>605.49973558963507</v>
      </c>
      <c r="AL21" s="30">
        <f>(Data!$C499+Data!$C500+Data!$C501)/(Data!$D51+Data!$D52+Data!$D53)</f>
        <v>610.25912215758854</v>
      </c>
      <c r="AM21" s="30">
        <f>(Data!$C513+Data!$C514+Data!$C515)/(Data!$D51+Data!$D52+Data!$D53)</f>
        <v>610.78794288736117</v>
      </c>
      <c r="AN21" s="30">
        <f>(Data!$C527+Data!$C528+Data!$C529)/(Data!$D51+Data!$D52+Data!$D53)</f>
        <v>612.37440507667895</v>
      </c>
      <c r="AO21" s="30">
        <f>(Data!$C541+Data!$C542+Data!$C543)/(Data!$D51+Data!$D52+Data!$D53)</f>
        <v>616.6049709148599</v>
      </c>
      <c r="AP21" s="30">
        <f>(Data!$C555+Data!$C556+Data!$C557)/(Data!$D51+Data!$D52+Data!$D53)</f>
        <v>617.13379164463242</v>
      </c>
      <c r="AQ21" s="30">
        <f>(Data!$C569+Data!$C570+Data!$C571)/(Data!$D51+Data!$D52+Data!$D53)</f>
        <v>619.24907456372284</v>
      </c>
      <c r="AR21" s="30">
        <f>(Data!$C583+Data!$C584+Data!$C585)/(Data!$D51+Data!$D52+Data!$D53)</f>
        <v>620.30671602326811</v>
      </c>
      <c r="AS21" s="30">
        <f>(Data!$C597+Data!$C598+Data!$C599)/(Data!$D51+Data!$D52+Data!$D53)</f>
        <v>624.53728186144895</v>
      </c>
      <c r="AT21" s="30">
        <f>(Data!$C611+Data!$C612+Data!$C613)/(Data!$D51+Data!$D52+Data!$D53)</f>
        <v>626.12374405076673</v>
      </c>
      <c r="AU21" s="30">
        <f>(Data!$C625+Data!$C626+Data!$C627)/(Data!$D51+Data!$D52+Data!$D53)</f>
        <v>629.29666842940242</v>
      </c>
      <c r="AV21" s="30">
        <f>(Data!$C639+Data!$C640+Data!$C641)/(Data!$D51+Data!$D52+Data!$D53)</f>
        <v>629.82548915917505</v>
      </c>
      <c r="AW21" s="30">
        <f>(Data!$C653+Data!$C654+Data!$C655)/(Data!$D51+Data!$D52+Data!$D53)</f>
        <v>630.35430988894768</v>
      </c>
      <c r="AX21" s="30">
        <f>(Data!$C667+Data!$C668+Data!$C669)/(Data!$D51+Data!$D52+Data!$D53)</f>
        <v>631.41195134849283</v>
      </c>
      <c r="AY21" s="30">
        <f>(Data!$C681+Data!$C682+Data!$C683)/(Data!$D51+Data!$D52+Data!$D53)</f>
        <v>632.4695928080381</v>
      </c>
      <c r="AZ21" s="30">
        <f>(Data!$C695+Data!$C696+Data!$C697)/(Data!$D51+Data!$D52+Data!$D53)</f>
        <v>632.99841353781073</v>
      </c>
      <c r="BA21" s="30">
        <f>(Data!$C709+Data!$C710+Data!$C711)/(Data!$D51+Data!$D52+Data!$D53)</f>
        <v>634.05605499735589</v>
      </c>
      <c r="BB21" s="30">
        <f>(Data!$C723+Data!$C724+Data!$C725)/(Data!$D51+Data!$D52+Data!$D53)</f>
        <v>635.11369645690115</v>
      </c>
      <c r="BC21" s="30">
        <f>(Data!$C737+Data!$C738+Data!$C739)/(Data!$D51+Data!$D52+Data!$D53)</f>
        <v>636.1713379164463</v>
      </c>
      <c r="BD21" s="30">
        <f>(Data!$C751+Data!$C752+Data!$C753)/(Data!$D51+Data!$D52+Data!$D53)</f>
        <v>638.81544156530936</v>
      </c>
      <c r="BE21" s="30">
        <f>(Data!$C765+Data!$C766+Data!$C767)/(Data!$D51+Data!$D52+Data!$D53)</f>
        <v>639.87308302485462</v>
      </c>
      <c r="BF21" s="30">
        <f>(Data!$C779+Data!$C780+Data!$C781)/(Data!$D51+Data!$D52+Data!$D53)</f>
        <v>640.93072448439978</v>
      </c>
      <c r="BG21" s="30">
        <f>(Data!$C793+Data!$C794+Data!$C795)/(Data!$D51+Data!$D52+Data!$D53)</f>
        <v>643.04600740349019</v>
      </c>
      <c r="BH21" s="30">
        <f>(Data!$C807+Data!$C808+Data!$C809)/(Data!$D51+Data!$D52+Data!$D53)</f>
        <v>643.57482813326283</v>
      </c>
      <c r="BI21" s="30">
        <f>(Data!$C821+Data!$C822+Data!$C823)/(Data!$D51+Data!$D52+Data!$D53)</f>
        <v>645.16129032258061</v>
      </c>
      <c r="BJ21" s="30">
        <f>(Data!$C835+Data!$C836+Data!$C837)/(Data!$D51+Data!$D52+Data!$D53)</f>
        <v>645.69011105235325</v>
      </c>
      <c r="BK21" s="30">
        <f>(Data!$C849+Data!$C850+Data!$C851)/(Data!$D51+Data!$D52+Data!$D53)</f>
        <v>645.69011105235325</v>
      </c>
      <c r="BL21" s="30">
        <f>(Data!$C863+Data!$C864+Data!$C865)/(Data!$D51+Data!$D52+Data!$D53)</f>
        <v>646.74775251189851</v>
      </c>
    </row>
    <row r="22" spans="2:64" x14ac:dyDescent="0.3">
      <c r="B22" t="str">
        <f t="shared" si="1"/>
        <v>NFLD</v>
      </c>
      <c r="C22" s="30">
        <f>Data!L12</f>
        <v>194.6564885496183</v>
      </c>
      <c r="D22" s="30">
        <f>Data!L26</f>
        <v>229.00763358778624</v>
      </c>
      <c r="E22" s="30">
        <f>Data!L40</f>
        <v>282.44274809160305</v>
      </c>
      <c r="F22" s="30">
        <f>Data!$L54</f>
        <v>290.07633587786256</v>
      </c>
      <c r="G22" s="30">
        <f>Data!$L68</f>
        <v>333.96946564885496</v>
      </c>
      <c r="H22" s="30">
        <f>Data!$L82</f>
        <v>349.23664122137404</v>
      </c>
      <c r="I22" s="30">
        <f>Data!$L96</f>
        <v>372.13740458015263</v>
      </c>
      <c r="J22" s="30">
        <f>Data!$L110</f>
        <v>387.40458015267171</v>
      </c>
      <c r="K22" s="30">
        <f>Data!$L124</f>
        <v>431.29770992366412</v>
      </c>
      <c r="L22" s="30">
        <f>Data!$L138</f>
        <v>435.1145038167939</v>
      </c>
      <c r="M22" s="30">
        <f>Data!$L152</f>
        <v>442.74809160305341</v>
      </c>
      <c r="N22" s="30">
        <f>Data!$L166</f>
        <v>450.38167938931298</v>
      </c>
      <c r="O22" s="30">
        <f>Data!$L180</f>
        <v>456.1068702290076</v>
      </c>
      <c r="P22" s="30">
        <f>Data!$L194</f>
        <v>459.92366412213738</v>
      </c>
      <c r="Q22" s="30">
        <f>Data!$L208</f>
        <v>459.92366412213738</v>
      </c>
      <c r="R22" s="30">
        <f>Data!$L222</f>
        <v>465.64885496183206</v>
      </c>
      <c r="S22" s="30">
        <f>Data!$L236</f>
        <v>471.37404580152668</v>
      </c>
      <c r="T22" s="30">
        <f>Data!$L250</f>
        <v>480.91603053435114</v>
      </c>
      <c r="U22" s="30">
        <f>Data!$L264</f>
        <v>488.54961832061065</v>
      </c>
      <c r="V22" s="30">
        <f>Data!$L278</f>
        <v>488.54961832061065</v>
      </c>
      <c r="W22" s="30">
        <f>Data!$L292</f>
        <v>488.54961832061065</v>
      </c>
      <c r="X22" s="30">
        <f>Data!$L306</f>
        <v>488.54961832061065</v>
      </c>
      <c r="Y22" s="30">
        <f>Data!$L320</f>
        <v>488.54961832061065</v>
      </c>
      <c r="Z22" s="30">
        <f>Data!$L334</f>
        <v>488.54961832061065</v>
      </c>
      <c r="AA22" s="30">
        <f>Data!$L348</f>
        <v>488.54961832061065</v>
      </c>
      <c r="AB22" s="30">
        <f>Data!$L362</f>
        <v>490.45801526717554</v>
      </c>
      <c r="AC22" s="30">
        <f>Data!$L376</f>
        <v>490.45801526717554</v>
      </c>
      <c r="AD22" s="30">
        <f>Data!$L390</f>
        <v>492.36641221374043</v>
      </c>
      <c r="AE22" s="30">
        <f>Data!$L404</f>
        <v>492.36641221374043</v>
      </c>
      <c r="AF22" s="30">
        <f>Data!$L418</f>
        <v>492.36641221374043</v>
      </c>
      <c r="AG22" s="30">
        <f>Data!$L432</f>
        <v>494.27480916030532</v>
      </c>
      <c r="AH22" s="30">
        <f>Data!$L446</f>
        <v>494.27480916030532</v>
      </c>
      <c r="AI22" s="30">
        <f>Data!$L460</f>
        <v>494.27480916030532</v>
      </c>
      <c r="AJ22" s="30">
        <f>Data!$L474</f>
        <v>494.27480916030532</v>
      </c>
      <c r="AK22" s="30">
        <f>Data!$L488</f>
        <v>494.27480916030532</v>
      </c>
      <c r="AL22" s="30">
        <f>Data!$L502</f>
        <v>498.09160305343511</v>
      </c>
      <c r="AM22" s="30">
        <f>Data!$L516</f>
        <v>498.09160305343511</v>
      </c>
      <c r="AN22" s="30">
        <f>Data!$L530</f>
        <v>498.09160305343511</v>
      </c>
      <c r="AO22" s="30">
        <f>Data!$L544</f>
        <v>498.09160305343511</v>
      </c>
      <c r="AP22" s="30">
        <f>Data!$L558</f>
        <v>498.09160305343511</v>
      </c>
      <c r="AQ22" s="30">
        <f>Data!$L572</f>
        <v>498.09160305343511</v>
      </c>
      <c r="AR22" s="30">
        <f>Data!$L586</f>
        <v>498.09160305343511</v>
      </c>
      <c r="AS22" s="30">
        <f>Data!$L600</f>
        <v>496.18320610687022</v>
      </c>
      <c r="AT22" s="30">
        <f>Data!$L614</f>
        <v>496.18320610687022</v>
      </c>
      <c r="AU22" s="30">
        <f>Data!$L628</f>
        <v>496.18320610687022</v>
      </c>
      <c r="AV22" s="30">
        <f>Data!$L642</f>
        <v>496.18320610687022</v>
      </c>
      <c r="AW22" s="30">
        <f>Data!$L656</f>
        <v>496.18320610687022</v>
      </c>
      <c r="AX22" s="30">
        <f>Data!$L670</f>
        <v>496.18320610687022</v>
      </c>
      <c r="AY22" s="30">
        <f>Data!$L684</f>
        <v>496.18320610687022</v>
      </c>
      <c r="AZ22" s="30">
        <f>Data!$L698</f>
        <v>496.18320610687022</v>
      </c>
      <c r="BA22" s="30">
        <f>Data!$L712</f>
        <v>496.18320610687022</v>
      </c>
      <c r="BB22" s="30">
        <f>Data!$L726</f>
        <v>496.18320610687022</v>
      </c>
      <c r="BC22" s="30">
        <f>Data!$L740</f>
        <v>496.18320610687022</v>
      </c>
      <c r="BD22" s="30">
        <f>Data!$L754</f>
        <v>498.09160305343511</v>
      </c>
      <c r="BE22" s="30">
        <f>Data!$L768</f>
        <v>498.09160305343511</v>
      </c>
      <c r="BF22" s="30">
        <f>Data!$L782</f>
        <v>498.09160305343511</v>
      </c>
      <c r="BG22" s="30">
        <f>Data!$L796</f>
        <v>498.09160305343511</v>
      </c>
      <c r="BH22" s="30">
        <f>Data!$L810</f>
        <v>498.09160305343511</v>
      </c>
      <c r="BI22" s="30">
        <f>Data!$L824</f>
        <v>498.09160305343511</v>
      </c>
      <c r="BJ22" s="30">
        <f>Data!$L838</f>
        <v>498.09160305343511</v>
      </c>
      <c r="BK22" s="30">
        <f>Data!$L852</f>
        <v>498.09160305343511</v>
      </c>
      <c r="BL22" s="30">
        <f>Data!$L866</f>
        <v>498.09160305343511</v>
      </c>
    </row>
    <row r="23" spans="2:64" x14ac:dyDescent="0.3">
      <c r="B23" t="str">
        <f t="shared" si="1"/>
        <v>Canada</v>
      </c>
      <c r="C23" s="30">
        <f>Data!L13</f>
        <v>125.98404255319149</v>
      </c>
      <c r="D23" s="30">
        <f>Data!L27</f>
        <v>156.32978723404256</v>
      </c>
      <c r="E23" s="30">
        <f>Data!L41</f>
        <v>198.08510638297872</v>
      </c>
      <c r="F23" s="30">
        <f>Data!$L55</f>
        <v>228.48404255319147</v>
      </c>
      <c r="G23" s="30">
        <f>Data!$L69</f>
        <v>258.82978723404256</v>
      </c>
      <c r="H23" s="30">
        <f>Data!$L83</f>
        <v>300.07978723404256</v>
      </c>
      <c r="I23" s="30">
        <f>Data!$L97</f>
        <v>330.90425531914894</v>
      </c>
      <c r="J23" s="30">
        <f>Data!$L111</f>
        <v>372.81914893617022</v>
      </c>
      <c r="K23" s="30">
        <f>Data!$L125</f>
        <v>440.37234042553189</v>
      </c>
      <c r="L23" s="30">
        <f>Data!$L139</f>
        <v>475.98404255319144</v>
      </c>
      <c r="M23" s="30">
        <f>Data!$L153</f>
        <v>513.031914893617</v>
      </c>
      <c r="N23" s="30">
        <f>Data!$L167</f>
        <v>552.26063829787233</v>
      </c>
      <c r="O23" s="30">
        <f>Data!$L181</f>
        <v>589.04255319148933</v>
      </c>
      <c r="P23" s="30">
        <f>Data!$L195</f>
        <v>620.15957446808511</v>
      </c>
      <c r="Q23" s="30">
        <f>Data!$L209</f>
        <v>682.97872340425533</v>
      </c>
      <c r="R23" s="30">
        <f>Data!$L223</f>
        <v>719.76063829787233</v>
      </c>
      <c r="S23" s="30">
        <f>Data!$L237</f>
        <v>755.23936170212767</v>
      </c>
      <c r="T23" s="30">
        <f>Data!$L251</f>
        <v>800.69148936170211</v>
      </c>
      <c r="U23" s="30">
        <f>Data!$L265</f>
        <v>849.12234042553189</v>
      </c>
      <c r="V23" s="30">
        <f>Data!$L279</f>
        <v>887.845744680851</v>
      </c>
      <c r="W23" s="30">
        <f>Data!$L293</f>
        <v>979.54787234042544</v>
      </c>
      <c r="X23" s="30">
        <f>Data!$L307</f>
        <v>1022.3936170212766</v>
      </c>
      <c r="Y23" s="30">
        <f>Data!$L321</f>
        <v>1068.8829787234042</v>
      </c>
      <c r="Z23" s="30">
        <f>Data!$L335</f>
        <v>1119.9468085106382</v>
      </c>
      <c r="AA23" s="30">
        <f>Data!$L349</f>
        <v>1167.2340425531916</v>
      </c>
      <c r="AB23" s="30">
        <f>Data!$L363</f>
        <v>1205.9840425531916</v>
      </c>
      <c r="AC23" s="30">
        <f>Data!$L377</f>
        <v>1289.8936170212764</v>
      </c>
      <c r="AD23" s="30">
        <f>Data!$L391</f>
        <v>1330.4787234042553</v>
      </c>
      <c r="AE23" s="30">
        <f>Data!$L405</f>
        <v>1372.2606382978722</v>
      </c>
      <c r="AF23" s="30">
        <f>Data!$L419</f>
        <v>1415.8510638297871</v>
      </c>
      <c r="AG23" s="30">
        <f>Data!$L433</f>
        <v>1464.3882978723404</v>
      </c>
      <c r="AH23" s="30">
        <f>Data!$L447</f>
        <v>1508.3510638297871</v>
      </c>
      <c r="AI23" s="30">
        <f>Data!$L461</f>
        <v>1616.2765957446809</v>
      </c>
      <c r="AJ23" s="30">
        <f>Data!$L475</f>
        <v>1650.1595744680851</v>
      </c>
      <c r="AK23" s="30">
        <f>Data!$L489</f>
        <v>1686.8617021276596</v>
      </c>
      <c r="AL23" s="30">
        <f>Data!$L503</f>
        <v>1724.3351063829787</v>
      </c>
      <c r="AM23" s="30">
        <f>Data!$L517</f>
        <v>1766.8617021276596</v>
      </c>
      <c r="AN23" s="30">
        <f>Data!$L531</f>
        <v>1800.5851063829787</v>
      </c>
      <c r="AO23" s="30">
        <f>Data!$L545</f>
        <v>1861.1968085106382</v>
      </c>
      <c r="AP23" s="30">
        <f>Data!$L559</f>
        <v>1892.4734042553191</v>
      </c>
      <c r="AQ23" s="30">
        <f>Data!$L573</f>
        <v>1922.313829787234</v>
      </c>
      <c r="AR23" s="30">
        <f>Data!$L587</f>
        <v>1954.4680851063829</v>
      </c>
      <c r="AS23" s="30">
        <f>Data!$L601</f>
        <v>1984.0691489361702</v>
      </c>
      <c r="AT23" s="30">
        <f>Data!$L615</f>
        <v>2017.6595744680851</v>
      </c>
      <c r="AU23" s="30">
        <f>Data!$L629</f>
        <v>2076.382978723404</v>
      </c>
      <c r="AV23" s="30">
        <f>Data!$L643</f>
        <v>2104.0425531914893</v>
      </c>
      <c r="AW23" s="30">
        <f>Data!$L657</f>
        <v>2131.4361702127658</v>
      </c>
      <c r="AX23" s="30">
        <f>Data!$L671</f>
        <v>2162.872340425532</v>
      </c>
      <c r="AY23" s="30">
        <f>Data!$L685</f>
        <v>2193.6170212765956</v>
      </c>
      <c r="AZ23" s="30">
        <f>Data!$L699</f>
        <v>2223.1382978723404</v>
      </c>
      <c r="BA23" s="30">
        <f>Data!$L713</f>
        <v>2279.5212765957444</v>
      </c>
      <c r="BB23" s="30">
        <f>Data!$L727</f>
        <v>2304.4414893617022</v>
      </c>
      <c r="BC23" s="30">
        <f>Data!$L741</f>
        <v>2327.632978723404</v>
      </c>
      <c r="BD23" s="30">
        <f>Data!$L755</f>
        <v>2354.0425531914893</v>
      </c>
      <c r="BE23" s="30">
        <f>Data!$L769</f>
        <v>2378.1382978723404</v>
      </c>
      <c r="BF23" s="30">
        <f>Data!$L783</f>
        <v>2398.6702127659573</v>
      </c>
      <c r="BG23" s="30">
        <f>Data!$L797</f>
        <v>2438.9627659574467</v>
      </c>
      <c r="BH23" s="30">
        <f>Data!$L811</f>
        <v>2457.7127659574467</v>
      </c>
      <c r="BI23" s="30">
        <f>Data!$L825</f>
        <v>2475.6648936170213</v>
      </c>
      <c r="BJ23" s="30">
        <f>Data!$L839</f>
        <v>2492.7127659574467</v>
      </c>
      <c r="BK23" s="30">
        <f>Data!$L853</f>
        <v>2508.9095744680849</v>
      </c>
      <c r="BL23" s="30">
        <f>Data!$L867</f>
        <v>2528.1117021276596</v>
      </c>
    </row>
    <row r="24" spans="2:64" x14ac:dyDescent="0.3">
      <c r="B24" t="str">
        <f t="shared" si="1"/>
        <v>USA</v>
      </c>
      <c r="C24" s="30">
        <f>Data!L14</f>
        <v>304.01529051987768</v>
      </c>
      <c r="D24" s="30">
        <f>Data!L28</f>
        <v>361.57186544342505</v>
      </c>
      <c r="E24" s="30">
        <f>Data!L42</f>
        <v>490.91743119266056</v>
      </c>
      <c r="F24" s="30">
        <f>Data!$L56</f>
        <v>565.04587155963304</v>
      </c>
      <c r="G24" s="30">
        <f>Data!$L70</f>
        <v>644.55657492354737</v>
      </c>
      <c r="H24" s="30">
        <f>Data!$L84</f>
        <v>730.91437308868501</v>
      </c>
      <c r="I24" s="30">
        <f>Data!$L98</f>
        <v>842.63608562691127</v>
      </c>
      <c r="J24" s="30">
        <f>Data!$L112</f>
        <v>945.25076452599387</v>
      </c>
      <c r="K24" s="30">
        <f>Data!$L126</f>
        <v>1112.5840978593271</v>
      </c>
      <c r="L24" s="30">
        <f>Data!$L140</f>
        <v>1205.8715596330276</v>
      </c>
      <c r="M24" s="30">
        <f>Data!$L154</f>
        <v>1297.8318042813455</v>
      </c>
      <c r="N24" s="30">
        <f>Data!$L168</f>
        <v>1402.0611620795107</v>
      </c>
      <c r="O24" s="30">
        <f>Data!$L182</f>
        <v>1502.006116207951</v>
      </c>
      <c r="P24" s="30">
        <f>Data!$L196</f>
        <v>1599.9969418960245</v>
      </c>
      <c r="Q24" s="30">
        <f>Data!$L210</f>
        <v>1763.834862385321</v>
      </c>
      <c r="R24" s="30">
        <f>Data!$L224</f>
        <v>1842.4250764525993</v>
      </c>
      <c r="S24" s="30">
        <f>Data!$L238</f>
        <v>1934.7278287461775</v>
      </c>
      <c r="T24" s="30">
        <f>Data!$L252</f>
        <v>2028.3180428134556</v>
      </c>
      <c r="U24" s="30">
        <f>Data!$L266</f>
        <v>2123.9143730886849</v>
      </c>
      <c r="V24" s="30">
        <f>Data!$L280</f>
        <v>2208.5076452599387</v>
      </c>
      <c r="W24" s="30">
        <f>Data!$L294</f>
        <v>2362.4587155963304</v>
      </c>
      <c r="X24" s="30">
        <f>Data!$L308</f>
        <v>2445.6177370030582</v>
      </c>
      <c r="Y24" s="30">
        <f>Data!$L322</f>
        <v>2528.8562691131497</v>
      </c>
      <c r="Z24" s="30">
        <f>Data!$L336</f>
        <v>2627.8837920489295</v>
      </c>
      <c r="AA24" s="30">
        <f>Data!$L350</f>
        <v>2724.2079510703365</v>
      </c>
      <c r="AB24" s="30">
        <f>Data!$L364</f>
        <v>2850.8929663608565</v>
      </c>
      <c r="AC24" s="30">
        <f>Data!$L378</f>
        <v>3000.4097859327217</v>
      </c>
      <c r="AD24" s="30">
        <f>Data!$L392</f>
        <v>3075.2048929663611</v>
      </c>
      <c r="AE24" s="30">
        <f>Data!$L406</f>
        <v>3209.2691131498473</v>
      </c>
      <c r="AF24" s="30">
        <f>Data!$L420</f>
        <v>3302.1100917431195</v>
      </c>
      <c r="AG24" s="30">
        <f>Data!$L434</f>
        <v>3412.2966360856267</v>
      </c>
      <c r="AH24" s="30">
        <f>Data!$L448</f>
        <v>3523.9388379204893</v>
      </c>
      <c r="AI24" s="30">
        <f>Data!$L462</f>
        <v>3692.8195718654433</v>
      </c>
      <c r="AJ24" s="30">
        <f>Data!$L476</f>
        <v>3751.1100917431195</v>
      </c>
      <c r="AK24" s="30">
        <f>Data!$L490</f>
        <v>3839.8654434250766</v>
      </c>
      <c r="AL24" s="30">
        <f>Data!$L504</f>
        <v>3937.2874617737002</v>
      </c>
      <c r="AM24" s="30">
        <f>Data!$L518</f>
        <v>4014.006116207951</v>
      </c>
      <c r="AN24" s="30">
        <f>Data!$L532</f>
        <v>4103.3455657492359</v>
      </c>
      <c r="AO24" s="30">
        <f>Data!$L546</f>
        <v>4221.3700305810398</v>
      </c>
      <c r="AP24" s="30">
        <f>Data!$L560</f>
        <v>4288.3027522935781</v>
      </c>
      <c r="AQ24" s="30">
        <f>Data!$L574</f>
        <v>4381.1651376146792</v>
      </c>
      <c r="AR24" s="30">
        <f>Data!$L588</f>
        <v>4425.6422018348621</v>
      </c>
      <c r="AS24" s="30">
        <f>Data!$L602</f>
        <v>4510.1100917431195</v>
      </c>
      <c r="AT24" s="30">
        <f>Data!$L616</f>
        <v>4593.3180428134556</v>
      </c>
      <c r="AU24" s="30">
        <f>Data!$L630</f>
        <v>4718.8073394495414</v>
      </c>
      <c r="AV24" s="30">
        <f>Data!$L644</f>
        <v>4788.7492354740061</v>
      </c>
      <c r="AW24" s="30">
        <f>Data!$L658</f>
        <v>4839.0611620795107</v>
      </c>
      <c r="AX24" s="30">
        <f>Data!$L672</f>
        <v>4900.6024464831808</v>
      </c>
      <c r="AY24" s="30">
        <f>Data!$L686</f>
        <v>5007.9021406727825</v>
      </c>
      <c r="AZ24" s="30">
        <f>Data!$L700</f>
        <v>5078.0764525993882</v>
      </c>
      <c r="BA24" s="30">
        <f>Data!$L714</f>
        <v>5200.4311926605506</v>
      </c>
      <c r="BB24" s="30">
        <f>Data!$L728</f>
        <v>5252.452599388379</v>
      </c>
      <c r="BC24" s="30">
        <f>Data!$L742</f>
        <v>5319.2385321100919</v>
      </c>
      <c r="BD24" s="30">
        <f>Data!$L756</f>
        <v>5384.7584097859326</v>
      </c>
      <c r="BE24" s="30">
        <f>Data!$L770</f>
        <v>5462.1284403669724</v>
      </c>
      <c r="BF24" s="30">
        <f>Data!$L784</f>
        <v>5534.8165137614678</v>
      </c>
      <c r="BG24" s="30">
        <f>Data!$L798</f>
        <v>5653.2629969418958</v>
      </c>
      <c r="BH24" s="30">
        <f>Data!$L812</f>
        <v>5727.8562691131501</v>
      </c>
      <c r="BI24" s="30">
        <f>Data!$L826</f>
        <v>5795.547400611621</v>
      </c>
      <c r="BJ24" s="30">
        <f>Data!$L840</f>
        <v>5864.6819571865444</v>
      </c>
      <c r="BK24" s="30">
        <f>Data!$L854</f>
        <v>5967.434250764526</v>
      </c>
      <c r="BL24" s="30">
        <f>Data!$L868</f>
        <v>6060.4984709480123</v>
      </c>
    </row>
    <row r="26" spans="2:64" x14ac:dyDescent="0.3">
      <c r="B26" t="s">
        <v>25</v>
      </c>
      <c r="C26" s="29">
        <f t="shared" ref="C26:J26" si="2">C14</f>
        <v>43917</v>
      </c>
      <c r="D26" s="29">
        <f t="shared" si="2"/>
        <v>43918</v>
      </c>
      <c r="E26" s="29">
        <f t="shared" si="2"/>
        <v>43920</v>
      </c>
      <c r="F26" s="29">
        <f t="shared" si="2"/>
        <v>43921</v>
      </c>
      <c r="G26" s="29">
        <f t="shared" si="2"/>
        <v>43922</v>
      </c>
      <c r="H26" s="29">
        <f t="shared" si="2"/>
        <v>43923</v>
      </c>
      <c r="I26" s="29">
        <f t="shared" si="2"/>
        <v>43924</v>
      </c>
      <c r="J26" s="29">
        <f t="shared" si="2"/>
        <v>43925</v>
      </c>
      <c r="K26" s="29">
        <v>43927</v>
      </c>
      <c r="L26" s="29">
        <v>43928</v>
      </c>
      <c r="M26" s="29">
        <v>43929</v>
      </c>
      <c r="N26" s="29">
        <v>43930</v>
      </c>
      <c r="O26" s="29">
        <v>43931</v>
      </c>
      <c r="P26" s="29">
        <v>43932</v>
      </c>
      <c r="Q26" s="29">
        <v>43934</v>
      </c>
      <c r="R26" s="29">
        <v>43935</v>
      </c>
      <c r="S26" s="29">
        <v>43936</v>
      </c>
      <c r="T26" s="29">
        <v>43937</v>
      </c>
      <c r="U26" s="29">
        <v>43938</v>
      </c>
      <c r="V26" s="29">
        <v>43939</v>
      </c>
      <c r="W26" s="29">
        <v>43941</v>
      </c>
      <c r="X26" s="29">
        <v>43942</v>
      </c>
      <c r="Y26" s="29">
        <v>43943</v>
      </c>
      <c r="Z26" s="29">
        <v>43944</v>
      </c>
      <c r="AA26" s="29">
        <v>43945</v>
      </c>
      <c r="AB26" s="29">
        <v>43946</v>
      </c>
      <c r="AC26" s="29">
        <v>43948</v>
      </c>
      <c r="AD26" s="29">
        <v>43949</v>
      </c>
      <c r="AE26" s="29">
        <v>43950</v>
      </c>
      <c r="AF26" s="29">
        <v>43951</v>
      </c>
      <c r="AG26" s="29">
        <v>43952</v>
      </c>
      <c r="AH26" s="29">
        <v>43953</v>
      </c>
      <c r="AI26" s="29">
        <v>43955</v>
      </c>
      <c r="AJ26" s="29">
        <v>43956</v>
      </c>
      <c r="AK26" s="29">
        <v>43957</v>
      </c>
      <c r="AL26" s="29">
        <v>43958</v>
      </c>
      <c r="AM26" s="29">
        <v>43959</v>
      </c>
      <c r="AN26" s="29">
        <v>43960</v>
      </c>
      <c r="AO26" s="29">
        <v>43962</v>
      </c>
      <c r="AP26" s="29">
        <v>43963</v>
      </c>
      <c r="AQ26" s="29">
        <v>43964</v>
      </c>
      <c r="AR26" s="29">
        <v>43965</v>
      </c>
      <c r="AS26" s="29">
        <v>43966</v>
      </c>
      <c r="AT26" s="29">
        <v>43967</v>
      </c>
      <c r="AU26" s="29">
        <v>43969</v>
      </c>
      <c r="AV26" s="29">
        <v>43970</v>
      </c>
      <c r="AW26" s="29">
        <v>43971</v>
      </c>
      <c r="AX26" s="29">
        <v>43972</v>
      </c>
      <c r="AY26" s="29">
        <v>43973</v>
      </c>
      <c r="AZ26" s="29">
        <v>43974</v>
      </c>
      <c r="BA26" s="29">
        <v>43976</v>
      </c>
      <c r="BB26" s="29">
        <v>43977</v>
      </c>
      <c r="BC26" s="29">
        <v>43978</v>
      </c>
      <c r="BD26" s="29">
        <v>43979</v>
      </c>
      <c r="BE26" s="29">
        <v>43980</v>
      </c>
      <c r="BF26" s="29">
        <v>43981</v>
      </c>
      <c r="BG26" s="29">
        <v>43983</v>
      </c>
      <c r="BH26" s="29">
        <v>43984</v>
      </c>
      <c r="BI26" s="29">
        <v>43985</v>
      </c>
      <c r="BJ26" s="29">
        <v>43986</v>
      </c>
      <c r="BK26" s="29">
        <v>43987</v>
      </c>
      <c r="BL26" s="29">
        <v>43988</v>
      </c>
    </row>
    <row r="27" spans="2:64" x14ac:dyDescent="0.3">
      <c r="B27" t="str">
        <f t="shared" ref="B27:B36" si="3">B15</f>
        <v>Ontario</v>
      </c>
      <c r="C27" s="84">
        <f>Data!O3</f>
        <v>1.2456747404844291</v>
      </c>
      <c r="D27" s="84">
        <f>Data!O17</f>
        <v>1.453287197231834</v>
      </c>
      <c r="E27" s="84">
        <f>Data!O31</f>
        <v>2.2837370242214532</v>
      </c>
      <c r="F27" s="84">
        <f>Data!O45</f>
        <v>2.2837370242214532</v>
      </c>
      <c r="G27" s="84">
        <f>Data!$O59</f>
        <v>2.5605536332179932</v>
      </c>
      <c r="H27" s="84">
        <f>Data!$O73</f>
        <v>3.6678200692041525</v>
      </c>
      <c r="I27" s="84">
        <f>Data!$O87</f>
        <v>4.6366782006920415</v>
      </c>
      <c r="J27" s="84">
        <f>Data!$O101</f>
        <v>6.5051903114186853</v>
      </c>
      <c r="K27" s="84">
        <f>Data!$O115</f>
        <v>9.1349480968858128</v>
      </c>
      <c r="L27" s="84">
        <f>Data!$O129</f>
        <v>10.588235294117647</v>
      </c>
      <c r="M27" s="84">
        <f>Data!$O143</f>
        <v>12.041522491349481</v>
      </c>
      <c r="N27" s="84">
        <f>Data!$O157</f>
        <v>13.84083044982699</v>
      </c>
      <c r="O27" s="84">
        <f>Data!$O171</f>
        <v>15.363321799307959</v>
      </c>
      <c r="P27" s="84">
        <f>Data!$O185</f>
        <v>17.508650519031143</v>
      </c>
      <c r="Q27" s="84">
        <f>Data!$O199</f>
        <v>20.13840830449827</v>
      </c>
      <c r="R27" s="84">
        <f>Data!$O213</f>
        <v>23.114186851211073</v>
      </c>
      <c r="S27" s="84">
        <f>Data!$O227</f>
        <v>26.643598615916957</v>
      </c>
      <c r="T27" s="84">
        <f>Data!$O241</f>
        <v>29.273356401384085</v>
      </c>
      <c r="U27" s="84">
        <f>Data!$O255</f>
        <v>33.079584775086509</v>
      </c>
      <c r="V27" s="84">
        <f>Data!$O269</f>
        <v>35.570934256055367</v>
      </c>
      <c r="W27" s="84">
        <f>Data!$O283</f>
        <v>40.415224913494811</v>
      </c>
      <c r="X27" s="84">
        <f>Data!$O297</f>
        <v>43.044982698961938</v>
      </c>
      <c r="Y27" s="84">
        <f>Data!$O311</f>
        <v>45.605536332179931</v>
      </c>
      <c r="Z27" s="84">
        <f>Data!$O325</f>
        <v>49.34256055363322</v>
      </c>
      <c r="AA27" s="84">
        <f>Data!$O339</f>
        <v>52.802768166089969</v>
      </c>
      <c r="AB27" s="84">
        <f>Data!$O353</f>
        <v>56.124567474048447</v>
      </c>
      <c r="AC27" s="84">
        <f>Data!$O367</f>
        <v>61.730103806228378</v>
      </c>
      <c r="AD27" s="84">
        <f>Data!$O381</f>
        <v>65.813148788927336</v>
      </c>
      <c r="AE27" s="84">
        <f>Data!$O395</f>
        <v>68.927335640138409</v>
      </c>
      <c r="AF27" s="84">
        <f>Data!$O409</f>
        <v>74.878892733564015</v>
      </c>
      <c r="AG27" s="84">
        <f>Data!$O423</f>
        <v>77.577854671280278</v>
      </c>
      <c r="AH27" s="84">
        <f>Data!$O437</f>
        <v>81.384083044982702</v>
      </c>
      <c r="AI27" s="84">
        <f>Data!$O451</f>
        <v>89.965397923875443</v>
      </c>
      <c r="AJ27" s="84">
        <f>Data!$O465</f>
        <v>94.186851211072664</v>
      </c>
      <c r="AK27" s="84">
        <f>Data!$O479</f>
        <v>98.892733564013852</v>
      </c>
      <c r="AL27" s="84">
        <f>Data!$O493</f>
        <v>102.21453287197232</v>
      </c>
      <c r="AM27" s="84">
        <f>Data!$O507</f>
        <v>106.57439446366783</v>
      </c>
      <c r="AN27" s="84">
        <f>Data!$O521</f>
        <v>110.65743944636679</v>
      </c>
      <c r="AO27" s="84">
        <f>Data!$O535</f>
        <v>115.50173010380624</v>
      </c>
      <c r="AP27" s="84">
        <f>Data!$O549</f>
        <v>119.37716262975779</v>
      </c>
      <c r="AQ27" s="84">
        <f>Data!$O563</f>
        <v>122.1453287197232</v>
      </c>
      <c r="AR27" s="84">
        <f>Data!$O577</f>
        <v>124.42906574394465</v>
      </c>
      <c r="AS27" s="84">
        <f>Data!$O591</f>
        <v>126.29757785467129</v>
      </c>
      <c r="AT27" s="84">
        <f>Data!$O605</f>
        <v>128.58131487889273</v>
      </c>
      <c r="AU27" s="84">
        <f>Data!$O619</f>
        <v>131.76470588235296</v>
      </c>
      <c r="AV27" s="84">
        <f>Data!$O633</f>
        <v>132.80276816608998</v>
      </c>
      <c r="AW27" s="84">
        <f>Data!$O647</f>
        <v>135.77854671280278</v>
      </c>
      <c r="AX27" s="84">
        <f>Data!$O661</f>
        <v>137.92387543252596</v>
      </c>
      <c r="AY27" s="84">
        <f>Data!$O675</f>
        <v>139.86159169550174</v>
      </c>
      <c r="AZ27" s="84">
        <f>Data!$O689</f>
        <v>141.73010380622839</v>
      </c>
      <c r="BA27" s="84">
        <f>Data!$O703</f>
        <v>145.46712802768167</v>
      </c>
      <c r="BB27" s="84">
        <f>Data!$O717</f>
        <v>146.92041522491351</v>
      </c>
      <c r="BC27" s="84">
        <f>Data!$O731</f>
        <v>149.13494809688581</v>
      </c>
      <c r="BD27" s="84">
        <f>Data!$O745</f>
        <v>151.48788927335642</v>
      </c>
      <c r="BE27" s="84">
        <f>Data!$O759</f>
        <v>154.32525951557093</v>
      </c>
      <c r="BF27" s="84">
        <f>Data!$O773</f>
        <v>155.50173010380624</v>
      </c>
      <c r="BG27" s="84">
        <f>Data!$O787</f>
        <v>157.50865051903114</v>
      </c>
      <c r="BH27" s="84">
        <f>Data!$O801</f>
        <v>158.68512110726644</v>
      </c>
      <c r="BI27" s="84">
        <f>Data!$O815</f>
        <v>160</v>
      </c>
      <c r="BJ27" s="84">
        <f>Data!$O829</f>
        <v>163.11418685121109</v>
      </c>
      <c r="BK27" s="84">
        <f>Data!$O843</f>
        <v>164.15224913494811</v>
      </c>
      <c r="BL27" s="84">
        <f>Data!$O857</f>
        <v>166.57439446366783</v>
      </c>
    </row>
    <row r="28" spans="2:64" x14ac:dyDescent="0.3">
      <c r="B28" t="str">
        <f t="shared" si="3"/>
        <v>Quebec</v>
      </c>
      <c r="C28" s="84">
        <f>Data!O4</f>
        <v>2.1352313167259789</v>
      </c>
      <c r="D28" s="84">
        <f>Data!O18</f>
        <v>2.6097271648873073</v>
      </c>
      <c r="E28" s="84">
        <f>Data!O32</f>
        <v>2.9655990510083039</v>
      </c>
      <c r="F28" s="84">
        <f>Data!O46</f>
        <v>3.6773428232502967</v>
      </c>
      <c r="G28" s="84">
        <f>Data!$O60</f>
        <v>3.9145907473309611</v>
      </c>
      <c r="H28" s="84">
        <f>Data!$O74</f>
        <v>4.2704626334519578</v>
      </c>
      <c r="I28" s="84">
        <f>Data!$O88</f>
        <v>7.2360616844602612</v>
      </c>
      <c r="J28" s="84">
        <f>Data!$O102</f>
        <v>8.8967971530249113</v>
      </c>
      <c r="K28" s="84">
        <f>Data!$O116</f>
        <v>14.353499406880191</v>
      </c>
      <c r="L28" s="84">
        <f>Data!$O130</f>
        <v>17.793594306049823</v>
      </c>
      <c r="M28" s="84">
        <f>Data!$O144</f>
        <v>20.759193357058127</v>
      </c>
      <c r="N28" s="84">
        <f>Data!$O158</f>
        <v>25.622775800711743</v>
      </c>
      <c r="O28" s="84">
        <f>Data!$O172</f>
        <v>28.588374851720047</v>
      </c>
      <c r="P28" s="84">
        <f>Data!$O186</f>
        <v>34.282325029655993</v>
      </c>
      <c r="Q28" s="84">
        <f>Data!$O200</f>
        <v>42.704626334519574</v>
      </c>
      <c r="R28" s="84">
        <f>Data!$O214</f>
        <v>51.601423487544487</v>
      </c>
      <c r="S28" s="84">
        <f>Data!$O228</f>
        <v>57.769869513641758</v>
      </c>
      <c r="T28" s="84">
        <f>Data!$O242</f>
        <v>74.733096085409258</v>
      </c>
      <c r="U28" s="84">
        <f>Data!$O256</f>
        <v>81.613285883748517</v>
      </c>
      <c r="V28" s="84">
        <f>Data!$O270</f>
        <v>95.492289442467381</v>
      </c>
      <c r="W28" s="84">
        <f>Data!$O284</f>
        <v>111.38790035587189</v>
      </c>
      <c r="X28" s="84">
        <f>Data!$O298</f>
        <v>123.48754448398577</v>
      </c>
      <c r="Y28" s="84">
        <f>Data!$O312</f>
        <v>134.51957295373666</v>
      </c>
      <c r="Z28" s="84">
        <f>Data!$O326</f>
        <v>147.44958481613287</v>
      </c>
      <c r="AA28" s="84">
        <f>Data!$O340</f>
        <v>158.95610913404508</v>
      </c>
      <c r="AB28" s="84">
        <f>Data!$O354</f>
        <v>171.53024911032028</v>
      </c>
      <c r="AC28" s="84">
        <f>Data!$O368</f>
        <v>189.6797153024911</v>
      </c>
      <c r="AD28" s="84">
        <f>Data!$O382</f>
        <v>199.52550415183867</v>
      </c>
      <c r="AE28" s="84">
        <f>Data!$O396</f>
        <v>208.89679715302492</v>
      </c>
      <c r="AF28" s="84">
        <f>Data!$O410</f>
        <v>220.52194543297747</v>
      </c>
      <c r="AG28" s="84">
        <f>Data!$O424</f>
        <v>239.85765124555161</v>
      </c>
      <c r="AH28" s="84">
        <f>Data!$O438</f>
        <v>253.38078291814946</v>
      </c>
      <c r="AI28" s="84">
        <f>Data!$O452</f>
        <v>270.46263345195729</v>
      </c>
      <c r="AJ28" s="84">
        <f>Data!$O466</f>
        <v>284.46026097271653</v>
      </c>
      <c r="AK28" s="84">
        <f>Data!$O480</f>
        <v>297.74614472123369</v>
      </c>
      <c r="AL28" s="84">
        <f>Data!$O494</f>
        <v>312.09964412811388</v>
      </c>
      <c r="AM28" s="84">
        <f>Data!$O508</f>
        <v>323.25029655990511</v>
      </c>
      <c r="AN28" s="84">
        <f>Data!$O522</f>
        <v>330.48635824436536</v>
      </c>
      <c r="AO28" s="84">
        <f>Data!$O536</f>
        <v>357.41399762752076</v>
      </c>
      <c r="AP28" s="84">
        <f>Data!$O550</f>
        <v>371.41162514827994</v>
      </c>
      <c r="AQ28" s="84">
        <f>Data!$O564</f>
        <v>381.96915776986953</v>
      </c>
      <c r="AR28" s="84">
        <f>Data!$O578</f>
        <v>397.50889679715306</v>
      </c>
      <c r="AS28" s="84">
        <f>Data!$O592</f>
        <v>403.44009489916965</v>
      </c>
      <c r="AT28" s="84">
        <f>Data!$O606</f>
        <v>413.1672597864769</v>
      </c>
      <c r="AU28" s="84">
        <f>Data!$O620</f>
        <v>426.57176749703444</v>
      </c>
      <c r="AV28" s="84">
        <f>Data!$O634</f>
        <v>432.62158956109135</v>
      </c>
      <c r="AW28" s="84">
        <f>Data!$O648</f>
        <v>441.04389086595495</v>
      </c>
      <c r="AX28" s="84">
        <f>Data!$O662</f>
        <v>450.77105575326215</v>
      </c>
      <c r="AY28" s="84">
        <f>Data!$O676</f>
        <v>458.48161328588378</v>
      </c>
      <c r="AZ28" s="84">
        <f>Data!$O690</f>
        <v>467.3784104389087</v>
      </c>
      <c r="BA28" s="84">
        <f>Data!$O704</f>
        <v>482.68090154211154</v>
      </c>
      <c r="BB28" s="84">
        <f>Data!$O718</f>
        <v>490.98457888493476</v>
      </c>
      <c r="BC28" s="84">
        <f>Data!$O732</f>
        <v>501.54211150652435</v>
      </c>
      <c r="BD28" s="84">
        <f>Data!$O746</f>
        <v>510.3202846975089</v>
      </c>
      <c r="BE28" s="84">
        <f>Data!$O760</f>
        <v>517.55634638196921</v>
      </c>
      <c r="BF28" s="84">
        <f>Data!$O774</f>
        <v>526.57176749703444</v>
      </c>
      <c r="BG28" s="84">
        <f>Data!$O788</f>
        <v>552.90628706998814</v>
      </c>
      <c r="BH28" s="84">
        <f>Data!$O802</f>
        <v>559.07473309608542</v>
      </c>
      <c r="BI28" s="84">
        <f>Data!$O816</f>
        <v>568.6832740213523</v>
      </c>
      <c r="BJ28" s="84">
        <f>Data!$O830</f>
        <v>579.47805456702258</v>
      </c>
      <c r="BK28" s="84">
        <f>Data!$O844</f>
        <v>585.40925266903912</v>
      </c>
      <c r="BL28" s="84">
        <f>Data!$O858</f>
        <v>589.56109134045084</v>
      </c>
    </row>
    <row r="29" spans="2:64" x14ac:dyDescent="0.3">
      <c r="B29" t="str">
        <f t="shared" si="3"/>
        <v>BC</v>
      </c>
      <c r="C29" s="84">
        <f>Data!O5</f>
        <v>3.1872509960159365</v>
      </c>
      <c r="D29" s="84">
        <f>Data!O19</f>
        <v>3.3864541832669324</v>
      </c>
      <c r="E29" s="84">
        <f>Data!O33</f>
        <v>3.7848605577689245</v>
      </c>
      <c r="F29" s="84">
        <f>Data!O47</f>
        <v>4.7808764940239046</v>
      </c>
      <c r="G29" s="84">
        <f>Data!$O61</f>
        <v>4.9800796812749004</v>
      </c>
      <c r="H29" s="84">
        <f>Data!$O75</f>
        <v>6.1752988047808772</v>
      </c>
      <c r="I29" s="84">
        <f>Data!$O89</f>
        <v>6.9721115537848615</v>
      </c>
      <c r="J29" s="84">
        <f>Data!$O103</f>
        <v>7.569721115537849</v>
      </c>
      <c r="K29" s="84">
        <f>Data!$O117</f>
        <v>7.7689243027888457</v>
      </c>
      <c r="L29" s="84">
        <f>Data!$O131</f>
        <v>8.56573705179283</v>
      </c>
      <c r="M29" s="84">
        <f>Data!$O145</f>
        <v>9.5617529880478092</v>
      </c>
      <c r="N29" s="84">
        <f>Data!$O159</f>
        <v>9.9601593625498008</v>
      </c>
      <c r="O29" s="84">
        <f>Data!$O173</f>
        <v>10.956175298804782</v>
      </c>
      <c r="P29" s="84">
        <f>Data!$O187</f>
        <v>11.553784860557769</v>
      </c>
      <c r="Q29" s="84">
        <f>Data!$O201</f>
        <v>13.745019920318727</v>
      </c>
      <c r="R29" s="84">
        <f>Data!$O215</f>
        <v>14.342629482071715</v>
      </c>
      <c r="S29" s="84">
        <f>Data!$O229</f>
        <v>14.940239043824702</v>
      </c>
      <c r="T29" s="84">
        <f>Data!$O243</f>
        <v>15.537848605577691</v>
      </c>
      <c r="U29" s="84">
        <f>Data!$O257</f>
        <v>15.537848605577691</v>
      </c>
      <c r="V29" s="84">
        <f>Data!$O271</f>
        <v>16.135458167330679</v>
      </c>
      <c r="W29" s="84">
        <f>Data!$O285</f>
        <v>17.13147410358566</v>
      </c>
      <c r="X29" s="84">
        <f>Data!$O299</f>
        <v>17.330677290836654</v>
      </c>
      <c r="Y29" s="84">
        <f>Data!$O313</f>
        <v>17.928286852589643</v>
      </c>
      <c r="Z29" s="84">
        <f>Data!$O327</f>
        <v>18.725099601593627</v>
      </c>
      <c r="AA29" s="84">
        <f>Data!$O341</f>
        <v>19.52191235059761</v>
      </c>
      <c r="AB29" s="84">
        <f>Data!$O355</f>
        <v>19.920318725099602</v>
      </c>
      <c r="AC29" s="84">
        <f>Data!$O369</f>
        <v>20.517928286852591</v>
      </c>
      <c r="AD29" s="84">
        <f>Data!$O383</f>
        <v>20.916334661354583</v>
      </c>
      <c r="AE29" s="84">
        <f>Data!$O397</f>
        <v>21.713147410358566</v>
      </c>
      <c r="AF29" s="84">
        <f>Data!$O411</f>
        <v>22.111553784860561</v>
      </c>
      <c r="AG29" s="84">
        <f>Data!$O425</f>
        <v>22.111553784860561</v>
      </c>
      <c r="AH29" s="84">
        <f>Data!$O439</f>
        <v>22.310756972111555</v>
      </c>
      <c r="AI29" s="84">
        <f>Data!$O453</f>
        <v>23.306772908366536</v>
      </c>
      <c r="AJ29" s="84">
        <f>Data!$O467</f>
        <v>24.10358565737052</v>
      </c>
      <c r="AK29" s="84">
        <f>Data!$O481</f>
        <v>24.701195219123509</v>
      </c>
      <c r="AL29" s="84">
        <f>Data!$O495</f>
        <v>25.099601593625501</v>
      </c>
      <c r="AM29" s="84">
        <f>Data!$O509</f>
        <v>25.298804780876495</v>
      </c>
      <c r="AN29" s="84">
        <f>Data!$O523</f>
        <v>25.69721115537849</v>
      </c>
      <c r="AO29" s="84">
        <f>Data!$O537</f>
        <v>25.896414342629484</v>
      </c>
      <c r="AP29" s="84">
        <f>Data!$O551</f>
        <v>26.095617529880482</v>
      </c>
      <c r="AQ29" s="84">
        <f>Data!$O565</f>
        <v>26.294820717131476</v>
      </c>
      <c r="AR29" s="84">
        <f>Data!$O579</f>
        <v>26.892430278884465</v>
      </c>
      <c r="AS29" s="84">
        <f>Data!$O593</f>
        <v>27.888446215139446</v>
      </c>
      <c r="AT29" s="84">
        <f>Data!$O607</f>
        <v>28.08764940239044</v>
      </c>
      <c r="AU29" s="84">
        <f>Data!$O621</f>
        <v>28.486055776892432</v>
      </c>
      <c r="AV29" s="84">
        <f>Data!$O635</f>
        <v>29.083665338645421</v>
      </c>
      <c r="AW29" s="84">
        <f>Data!$O649</f>
        <v>29.68127490039841</v>
      </c>
      <c r="AX29" s="84">
        <f>Data!$O663</f>
        <v>30.278884462151396</v>
      </c>
      <c r="AY29" s="84">
        <f>Data!$O677</f>
        <v>30.876494023904385</v>
      </c>
      <c r="AZ29" s="84">
        <f>Data!$O691</f>
        <v>31.274900398406377</v>
      </c>
      <c r="BA29" s="84">
        <f>Data!$O705</f>
        <v>32.071713147410364</v>
      </c>
      <c r="BB29" s="84">
        <f>Data!$O719</f>
        <v>32.071713147410364</v>
      </c>
      <c r="BC29" s="84">
        <f>Data!$O733</f>
        <v>32.270916334661358</v>
      </c>
      <c r="BD29" s="84">
        <f>Data!$O747</f>
        <v>32.669322709163346</v>
      </c>
      <c r="BE29" s="84">
        <f>Data!$O761</f>
        <v>32.669322709163346</v>
      </c>
      <c r="BF29" s="84">
        <f>Data!$O775</f>
        <v>32.669322709163346</v>
      </c>
      <c r="BG29" s="84">
        <f>Data!$O789</f>
        <v>32.868525896414347</v>
      </c>
      <c r="BH29" s="84">
        <f>Data!$O803</f>
        <v>32.868525896414347</v>
      </c>
      <c r="BI29" s="84">
        <f>Data!$O817</f>
        <v>33.067729083665341</v>
      </c>
      <c r="BJ29" s="84">
        <f>Data!$O831</f>
        <v>33.067729083665341</v>
      </c>
      <c r="BK29" s="84">
        <f>Data!$O845</f>
        <v>33.266932270916335</v>
      </c>
      <c r="BL29" s="84">
        <f>Data!$O859</f>
        <v>33.266932270916335</v>
      </c>
    </row>
    <row r="30" spans="2:64" x14ac:dyDescent="0.3">
      <c r="B30" t="str">
        <f t="shared" si="3"/>
        <v>Alberta</v>
      </c>
      <c r="C30" s="84">
        <f>Data!O6</f>
        <v>0.46082949308755761</v>
      </c>
      <c r="D30" s="84">
        <f>Data!O20</f>
        <v>0.46082949308755761</v>
      </c>
      <c r="E30" s="84">
        <f>Data!O34</f>
        <v>1.8433179723502304</v>
      </c>
      <c r="F30" s="84">
        <f>Data!O48</f>
        <v>2.0737327188940093</v>
      </c>
      <c r="G30" s="84">
        <f>Data!$O62</f>
        <v>2.5345622119815667</v>
      </c>
      <c r="H30" s="84">
        <f>Data!$O76</f>
        <v>2.9953917050691246</v>
      </c>
      <c r="I30" s="84">
        <f>Data!$O90</f>
        <v>2.9953917050691246</v>
      </c>
      <c r="J30" s="84">
        <f>Data!$O104</f>
        <v>4.6082949308755765</v>
      </c>
      <c r="K30" s="84">
        <f>Data!$O118</f>
        <v>5.2995391705069128</v>
      </c>
      <c r="L30" s="84">
        <f>Data!$O132</f>
        <v>5.9907834101382491</v>
      </c>
      <c r="M30" s="84">
        <f>Data!$O146</f>
        <v>6.6820276497695854</v>
      </c>
      <c r="N30" s="84">
        <f>Data!$O160</f>
        <v>7.3732718894009217</v>
      </c>
      <c r="O30" s="84">
        <f>Data!$O174</f>
        <v>8.9861751152073737</v>
      </c>
      <c r="P30" s="84">
        <f>Data!$O188</f>
        <v>8.9861751152073737</v>
      </c>
      <c r="Q30" s="84">
        <f>Data!$O202</f>
        <v>10.599078341013826</v>
      </c>
      <c r="R30" s="84">
        <f>Data!$O216</f>
        <v>11.059907834101383</v>
      </c>
      <c r="S30" s="84">
        <f>Data!$O230</f>
        <v>11.059907834101383</v>
      </c>
      <c r="T30" s="84">
        <f>Data!$O244</f>
        <v>11.520737327188941</v>
      </c>
      <c r="U30" s="84">
        <f>Data!$O258</f>
        <v>11.520737327188941</v>
      </c>
      <c r="V30" s="84">
        <f>Data!$O272</f>
        <v>11.751152073732719</v>
      </c>
      <c r="W30" s="84">
        <f>Data!$O286</f>
        <v>13.59447004608295</v>
      </c>
      <c r="X30" s="84">
        <f>Data!$O300</f>
        <v>14.055299539170507</v>
      </c>
      <c r="Y30" s="84">
        <f>Data!$O314</f>
        <v>15.207373271889402</v>
      </c>
      <c r="Z30" s="84">
        <f>Data!$O328</f>
        <v>15.43778801843318</v>
      </c>
      <c r="AA30" s="84">
        <f>Data!$O342</f>
        <v>16.589861751152075</v>
      </c>
      <c r="AB30" s="84">
        <f>Data!$O356</f>
        <v>16.820276497695854</v>
      </c>
      <c r="AC30" s="84">
        <f>Data!$O370</f>
        <v>17.281105990783409</v>
      </c>
      <c r="AD30" s="84">
        <f>Data!$O384</f>
        <v>18.433179723502306</v>
      </c>
      <c r="AE30" s="84">
        <f>Data!$O398</f>
        <v>20.046082949308758</v>
      </c>
      <c r="AF30" s="84">
        <f>Data!$O412</f>
        <v>20.506912442396313</v>
      </c>
      <c r="AG30" s="84">
        <f>Data!$O426</f>
        <v>21.198156682027651</v>
      </c>
      <c r="AH30" s="84">
        <f>Data!$O440</f>
        <v>21.658986175115206</v>
      </c>
      <c r="AI30" s="84">
        <f>Data!$O454</f>
        <v>23.963133640552996</v>
      </c>
      <c r="AJ30" s="84">
        <f>Data!$O468</f>
        <v>24.423963133640555</v>
      </c>
      <c r="AK30" s="84">
        <f>Data!$O482</f>
        <v>25.806451612903228</v>
      </c>
      <c r="AL30" s="84">
        <f>Data!$O496</f>
        <v>26.267281105990783</v>
      </c>
      <c r="AM30" s="84">
        <f>Data!$O510</f>
        <v>26.497695852534562</v>
      </c>
      <c r="AN30" s="84">
        <f>Data!$O524</f>
        <v>26.728110599078342</v>
      </c>
      <c r="AO30" s="84">
        <f>Data!$O538</f>
        <v>26.958525345622121</v>
      </c>
      <c r="AP30" s="84">
        <f>Data!$O552</f>
        <v>27.1889400921659</v>
      </c>
      <c r="AQ30" s="84">
        <f>Data!$O566</f>
        <v>27.649769585253456</v>
      </c>
      <c r="AR30" s="84">
        <f>Data!$O580</f>
        <v>27.880184331797235</v>
      </c>
      <c r="AS30" s="84">
        <f>Data!$O594</f>
        <v>28.801843317972352</v>
      </c>
      <c r="AT30" s="84">
        <f>Data!$O608</f>
        <v>29.032258064516132</v>
      </c>
      <c r="AU30" s="84">
        <f>Data!$O622</f>
        <v>29.493087557603687</v>
      </c>
      <c r="AV30" s="84">
        <f>Data!$O636</f>
        <v>29.493087557603687</v>
      </c>
      <c r="AW30" s="84">
        <f>Data!$O650</f>
        <v>29.493087557603687</v>
      </c>
      <c r="AX30" s="84">
        <f>Data!$O664</f>
        <v>30.414746543778804</v>
      </c>
      <c r="AY30" s="84">
        <f>Data!$O678</f>
        <v>30.875576036866359</v>
      </c>
      <c r="AZ30" s="84">
        <f>Data!$O692</f>
        <v>31.105990783410139</v>
      </c>
      <c r="BA30" s="84">
        <f>Data!$O706</f>
        <v>31.797235023041477</v>
      </c>
      <c r="BB30" s="84">
        <f>Data!$O720</f>
        <v>32.027649769585253</v>
      </c>
      <c r="BC30" s="84">
        <f>Data!$O734</f>
        <v>32.488479262672811</v>
      </c>
      <c r="BD30" s="84">
        <f>Data!$O748</f>
        <v>32.94930875576037</v>
      </c>
      <c r="BE30" s="84">
        <f>Data!$O762</f>
        <v>32.94930875576037</v>
      </c>
      <c r="BF30" s="84">
        <f>Data!$O776</f>
        <v>32.94930875576037</v>
      </c>
      <c r="BG30" s="84">
        <f>Data!$O790</f>
        <v>32.94930875576037</v>
      </c>
      <c r="BH30" s="84">
        <f>Data!$O804</f>
        <v>32.94930875576037</v>
      </c>
      <c r="BI30" s="84">
        <f>Data!$O818</f>
        <v>33.410138248847929</v>
      </c>
      <c r="BJ30" s="84">
        <f>Data!$O832</f>
        <v>33.640552995391708</v>
      </c>
      <c r="BK30" s="84">
        <f>Data!$O846</f>
        <v>33.640552995391708</v>
      </c>
      <c r="BL30" s="84">
        <f>Data!$O860</f>
        <v>33.640552995391708</v>
      </c>
    </row>
    <row r="31" spans="2:64" x14ac:dyDescent="0.3">
      <c r="B31" t="str">
        <f t="shared" si="3"/>
        <v>Manitoba</v>
      </c>
      <c r="C31" s="84">
        <f>Data!O7</f>
        <v>0.73529411764705876</v>
      </c>
      <c r="D31" s="84">
        <f>Data!O21</f>
        <v>0.73529411764705876</v>
      </c>
      <c r="E31" s="84">
        <f>Data!O35</f>
        <v>0.73529411764705876</v>
      </c>
      <c r="F31" s="84">
        <f>Data!O49</f>
        <v>0.73529411764705876</v>
      </c>
      <c r="G31" s="84">
        <f>Data!$O63</f>
        <v>0.73529411764705876</v>
      </c>
      <c r="H31" s="84">
        <f>Data!$O77</f>
        <v>0.73529411764705876</v>
      </c>
      <c r="I31" s="84">
        <f>Data!$O91</f>
        <v>1.4705882352941175</v>
      </c>
      <c r="J31" s="84">
        <f>Data!$O105</f>
        <v>1.4705882352941175</v>
      </c>
      <c r="K31" s="84">
        <f>Data!$O119</f>
        <v>1.4705882352941175</v>
      </c>
      <c r="L31" s="84">
        <f>Data!$O133</f>
        <v>2.2058823529411762</v>
      </c>
      <c r="M31" s="84">
        <f>Data!$O147</f>
        <v>2.2058823529411762</v>
      </c>
      <c r="N31" s="84">
        <f>Data!$O161</f>
        <v>2.2058823529411762</v>
      </c>
      <c r="O31" s="84">
        <f>Data!$O175</f>
        <v>2.9411764705882351</v>
      </c>
      <c r="P31" s="84">
        <f>Data!$O189</f>
        <v>2.9411764705882351</v>
      </c>
      <c r="Q31" s="84">
        <f>Data!$O203</f>
        <v>2.9411764705882351</v>
      </c>
      <c r="R31" s="84">
        <f>Data!$O217</f>
        <v>2.9411764705882351</v>
      </c>
      <c r="S31" s="84">
        <f>Data!$O231</f>
        <v>3.6764705882352939</v>
      </c>
      <c r="T31" s="84">
        <f>Data!$O245</f>
        <v>3.6764705882352939</v>
      </c>
      <c r="U31" s="84">
        <f>Data!$O259</f>
        <v>3.6764705882352939</v>
      </c>
      <c r="V31" s="84">
        <f>Data!$O273</f>
        <v>3.6764705882352939</v>
      </c>
      <c r="W31" s="84">
        <f>Data!$O287</f>
        <v>4.4117647058823524</v>
      </c>
      <c r="X31" s="84">
        <f>Data!$O301</f>
        <v>4.4117647058823524</v>
      </c>
      <c r="Y31" s="84">
        <f>Data!$O315</f>
        <v>4.4117647058823524</v>
      </c>
      <c r="Z31" s="84">
        <f>Data!$O329</f>
        <v>4.4117647058823524</v>
      </c>
      <c r="AA31" s="84">
        <f>Data!$O343</f>
        <v>4.4117647058823524</v>
      </c>
      <c r="AB31" s="84">
        <f>Data!$O357</f>
        <v>4.4117647058823524</v>
      </c>
      <c r="AC31" s="84">
        <f>Data!$O371</f>
        <v>4.4117647058823524</v>
      </c>
      <c r="AD31" s="84">
        <f>Data!$O385</f>
        <v>4.4117647058823524</v>
      </c>
      <c r="AE31" s="84">
        <f>Data!$O399</f>
        <v>4.4117647058823524</v>
      </c>
      <c r="AF31" s="84">
        <f>Data!$O413</f>
        <v>4.4117647058823524</v>
      </c>
      <c r="AG31" s="84">
        <f>Data!$O427</f>
        <v>4.4117647058823524</v>
      </c>
      <c r="AH31" s="84">
        <f>Data!$O441</f>
        <v>4.4117647058823524</v>
      </c>
      <c r="AI31" s="84">
        <f>Data!$O455</f>
        <v>4.4117647058823524</v>
      </c>
      <c r="AJ31" s="84">
        <f>Data!$O469</f>
        <v>5.1470588235294112</v>
      </c>
      <c r="AK31" s="84">
        <f>Data!$O483</f>
        <v>5.1470588235294112</v>
      </c>
      <c r="AL31" s="84">
        <f>Data!$O497</f>
        <v>5.1470588235294112</v>
      </c>
      <c r="AM31" s="84">
        <f>Data!$O511</f>
        <v>5.1470588235294112</v>
      </c>
      <c r="AN31" s="84">
        <f>Data!$O525</f>
        <v>5.1470588235294112</v>
      </c>
      <c r="AO31" s="84">
        <f>Data!$O539</f>
        <v>5.1470588235294112</v>
      </c>
      <c r="AP31" s="84">
        <f>Data!$O553</f>
        <v>5.1470588235294112</v>
      </c>
      <c r="AQ31" s="84">
        <f>Data!$O567</f>
        <v>5.1470588235294112</v>
      </c>
      <c r="AR31" s="84">
        <f>Data!$O581</f>
        <v>5.1470588235294112</v>
      </c>
      <c r="AS31" s="84">
        <f>Data!$O595</f>
        <v>5.1470588235294112</v>
      </c>
      <c r="AT31" s="84">
        <f>Data!$O609</f>
        <v>5.1470588235294112</v>
      </c>
      <c r="AU31" s="84">
        <f>Data!$O623</f>
        <v>5.1470588235294112</v>
      </c>
      <c r="AV31" s="84">
        <f>Data!$O637</f>
        <v>5.1470588235294112</v>
      </c>
      <c r="AW31" s="84">
        <f>Data!$O651</f>
        <v>5.1470588235294112</v>
      </c>
      <c r="AX31" s="84">
        <f>Data!$O665</f>
        <v>5.1470588235294112</v>
      </c>
      <c r="AY31" s="84">
        <f>Data!$O679</f>
        <v>5.1470588235294112</v>
      </c>
      <c r="AZ31" s="84">
        <f>Data!$O693</f>
        <v>5.1470588235294112</v>
      </c>
      <c r="BA31" s="84">
        <f>Data!$O707</f>
        <v>5.1470588235294112</v>
      </c>
      <c r="BB31" s="84">
        <f>Data!$O721</f>
        <v>5.1470588235294112</v>
      </c>
      <c r="BC31" s="84">
        <f>Data!$O735</f>
        <v>5.1470588235294112</v>
      </c>
      <c r="BD31" s="84">
        <f>Data!$O749</f>
        <v>5.1470588235294112</v>
      </c>
      <c r="BE31" s="84">
        <f>Data!$O763</f>
        <v>5.1470588235294112</v>
      </c>
      <c r="BF31" s="84">
        <f>Data!$O777</f>
        <v>5.1470588235294112</v>
      </c>
      <c r="BG31" s="84">
        <f>Data!$O791</f>
        <v>5.1470588235294112</v>
      </c>
      <c r="BH31" s="84">
        <f>Data!$O805</f>
        <v>5.1470588235294112</v>
      </c>
      <c r="BI31" s="84">
        <f>Data!$O819</f>
        <v>5.1470588235294112</v>
      </c>
      <c r="BJ31" s="84">
        <f>Data!$O833</f>
        <v>5.1470588235294112</v>
      </c>
      <c r="BK31" s="84">
        <f>Data!$O847</f>
        <v>5.1470588235294112</v>
      </c>
      <c r="BL31" s="84">
        <f>Data!$O861</f>
        <v>5.1470588235294112</v>
      </c>
    </row>
    <row r="32" spans="2:64" x14ac:dyDescent="0.3">
      <c r="B32" t="str">
        <f t="shared" si="3"/>
        <v>Sask</v>
      </c>
      <c r="C32" s="84">
        <f>Data!O8</f>
        <v>0</v>
      </c>
      <c r="D32" s="84">
        <f>Data!O22</f>
        <v>0</v>
      </c>
      <c r="E32" s="84">
        <f>Data!O36</f>
        <v>1.7094017094017095</v>
      </c>
      <c r="F32" s="84">
        <f>Data!O50</f>
        <v>1.7094017094017095</v>
      </c>
      <c r="G32" s="84">
        <f>Data!$O64</f>
        <v>2.5641025641025643</v>
      </c>
      <c r="H32" s="84">
        <f>Data!$O78</f>
        <v>2.5641025641025643</v>
      </c>
      <c r="I32" s="84">
        <f>Data!$O92</f>
        <v>2.5641025641025643</v>
      </c>
      <c r="J32" s="84">
        <f>Data!$O106</f>
        <v>2.5641025641025643</v>
      </c>
      <c r="K32" s="84">
        <f>Data!$O120</f>
        <v>2.5641025641025643</v>
      </c>
      <c r="L32" s="84">
        <f>Data!$O134</f>
        <v>2.5641025641025643</v>
      </c>
      <c r="M32" s="84">
        <f>Data!$O148</f>
        <v>2.5641025641025643</v>
      </c>
      <c r="N32" s="84">
        <f>Data!$O162</f>
        <v>2.5641025641025643</v>
      </c>
      <c r="O32" s="84">
        <f>Data!$O176</f>
        <v>2.5641025641025643</v>
      </c>
      <c r="P32" s="84">
        <f>Data!$O190</f>
        <v>3.4188034188034191</v>
      </c>
      <c r="Q32" s="84">
        <f>Data!$O204</f>
        <v>3.4188034188034191</v>
      </c>
      <c r="R32" s="84">
        <f>Data!$O218</f>
        <v>3.4188034188034191</v>
      </c>
      <c r="S32" s="84">
        <f>Data!$O232</f>
        <v>3.4188034188034191</v>
      </c>
      <c r="T32" s="84">
        <f>Data!$O246</f>
        <v>3.4188034188034191</v>
      </c>
      <c r="U32" s="84">
        <f>Data!$O260</f>
        <v>3.4188034188034191</v>
      </c>
      <c r="V32" s="84">
        <f>Data!$O274</f>
        <v>3.4188034188034191</v>
      </c>
      <c r="W32" s="84">
        <f>Data!$O288</f>
        <v>3.4188034188034191</v>
      </c>
      <c r="X32" s="84">
        <f>Data!$O302</f>
        <v>3.4188034188034191</v>
      </c>
      <c r="Y32" s="84">
        <f>Data!$O316</f>
        <v>3.4188034188034191</v>
      </c>
      <c r="Z32" s="84">
        <f>Data!$O330</f>
        <v>3.4188034188034191</v>
      </c>
      <c r="AA32" s="84">
        <f>Data!$O344</f>
        <v>3.4188034188034191</v>
      </c>
      <c r="AB32" s="84">
        <f>Data!$O358</f>
        <v>3.4188034188034191</v>
      </c>
      <c r="AC32" s="84">
        <f>Data!$O372</f>
        <v>4.2735042735042734</v>
      </c>
      <c r="AD32" s="84">
        <f>Data!$O386</f>
        <v>4.2735042735042734</v>
      </c>
      <c r="AE32" s="84">
        <f>Data!$O400</f>
        <v>5.1282051282051286</v>
      </c>
      <c r="AF32" s="84">
        <f>Data!$O414</f>
        <v>5.1282051282051286</v>
      </c>
      <c r="AG32" s="84">
        <f>Data!$O428</f>
        <v>5.1282051282051286</v>
      </c>
      <c r="AH32" s="84">
        <f>Data!$O442</f>
        <v>5.1282051282051286</v>
      </c>
      <c r="AI32" s="84">
        <f>Data!$O456</f>
        <v>5.1282051282051286</v>
      </c>
      <c r="AJ32" s="84">
        <f>Data!$O470</f>
        <v>5.1282051282051286</v>
      </c>
      <c r="AK32" s="84">
        <f>Data!$O484</f>
        <v>5.1282051282051286</v>
      </c>
      <c r="AL32" s="84">
        <f>Data!$O498</f>
        <v>5.1282051282051286</v>
      </c>
      <c r="AM32" s="84">
        <f>Data!$O512</f>
        <v>5.1282051282051286</v>
      </c>
      <c r="AN32" s="84">
        <f>Data!$O526</f>
        <v>5.1282051282051286</v>
      </c>
      <c r="AO32" s="84">
        <f>Data!$O540</f>
        <v>5.1282051282051286</v>
      </c>
      <c r="AP32" s="84">
        <f>Data!$O554</f>
        <v>5.1282051282051286</v>
      </c>
      <c r="AQ32" s="84">
        <f>Data!$O568</f>
        <v>5.1282051282051286</v>
      </c>
      <c r="AR32" s="84">
        <f>Data!$O582</f>
        <v>5.1282051282051286</v>
      </c>
      <c r="AS32" s="84">
        <f>Data!$O596</f>
        <v>5.1282051282051286</v>
      </c>
      <c r="AT32" s="84">
        <f>Data!$O610</f>
        <v>5.1282051282051286</v>
      </c>
      <c r="AU32" s="84">
        <f>Data!$O624</f>
        <v>5.1282051282051286</v>
      </c>
      <c r="AV32" s="84">
        <f>Data!$O638</f>
        <v>5.1282051282051286</v>
      </c>
      <c r="AW32" s="84">
        <f>Data!$O652</f>
        <v>5.982905982905983</v>
      </c>
      <c r="AX32" s="84">
        <f>Data!$O666</f>
        <v>5.982905982905983</v>
      </c>
      <c r="AY32" s="84">
        <f>Data!$O680</f>
        <v>5.982905982905983</v>
      </c>
      <c r="AZ32" s="84">
        <f>Data!$O694</f>
        <v>5.982905982905983</v>
      </c>
      <c r="BA32" s="84">
        <f>Data!$O708</f>
        <v>5.982905982905983</v>
      </c>
      <c r="BB32" s="84">
        <f>Data!$O722</f>
        <v>6.8376068376068382</v>
      </c>
      <c r="BC32" s="84">
        <f>Data!$O736</f>
        <v>8.5470085470085468</v>
      </c>
      <c r="BD32" s="84">
        <f>Data!$O750</f>
        <v>8.5470085470085468</v>
      </c>
      <c r="BE32" s="84">
        <f>Data!$O764</f>
        <v>8.5470085470085468</v>
      </c>
      <c r="BF32" s="84">
        <f>Data!$O778</f>
        <v>8.5470085470085468</v>
      </c>
      <c r="BG32" s="84">
        <f>Data!$O792</f>
        <v>9.4017094017094021</v>
      </c>
      <c r="BH32" s="84">
        <f>Data!$O806</f>
        <v>9.4017094017094021</v>
      </c>
      <c r="BI32" s="84">
        <f>Data!$O820</f>
        <v>9.4017094017094021</v>
      </c>
      <c r="BJ32" s="84">
        <f>Data!$O834</f>
        <v>9.4017094017094021</v>
      </c>
      <c r="BK32" s="84">
        <f>Data!$O848</f>
        <v>9.4017094017094021</v>
      </c>
      <c r="BL32" s="84">
        <f>Data!$O862</f>
        <v>9.4017094017094021</v>
      </c>
    </row>
    <row r="33" spans="2:64" x14ac:dyDescent="0.3">
      <c r="B33" t="str">
        <f t="shared" si="3"/>
        <v>Maritimes</v>
      </c>
      <c r="C33" s="84">
        <f>(Data!F9+Data!F10+Data!F11)/(Data!D9+Data!D10+Data!D11)</f>
        <v>0</v>
      </c>
      <c r="D33" s="84">
        <f>(Data!F23+Data!F24+Data!F25)/(Data!D9+Data!D10+Data!D11)</f>
        <v>0</v>
      </c>
      <c r="E33" s="84">
        <f>(Data!F37+Data!F38+Data!F39)/(Data!D9+Data!D10+Data!D11)</f>
        <v>0</v>
      </c>
      <c r="F33" s="84">
        <f>(Data!F51+Data!F52+Data!F53)/(Data!D9+Data!D10+Data!D11)</f>
        <v>0</v>
      </c>
      <c r="G33" s="84">
        <f>(Data!$F65+Data!$F66+Data!$F67)/(Data!D9+Data!D10+Data!D11)</f>
        <v>0</v>
      </c>
      <c r="H33" s="84">
        <f>(Data!$F79+Data!$F80+Data!$F81)/(Data!D9+Data!D10+Data!D11)</f>
        <v>0</v>
      </c>
      <c r="I33" s="84">
        <f>(Data!$F93+Data!$F94+Data!$F95)/(Data!D9+Data!D10+Data!D11)</f>
        <v>0</v>
      </c>
      <c r="J33" s="84">
        <f>(Data!$F107+Data!$F108+Data!$F109)/(Data!$D9+Data!$D10+Data!$D11)</f>
        <v>0</v>
      </c>
      <c r="K33" s="84">
        <f>(Data!$F121+Data!$F122+Data!$F123)/(Data!$D9+Data!$D10+Data!$D11)</f>
        <v>0</v>
      </c>
      <c r="L33" s="84">
        <f>(Data!$F135+Data!$F136+Data!$F137)/(Data!$D9+Data!$D10+Data!$D11)</f>
        <v>0.52882072977260708</v>
      </c>
      <c r="M33" s="84">
        <f>(Data!$F149+Data!$F150+Data!$F151)/(Data!$D9+Data!$D10+Data!$D11)</f>
        <v>0.52882072977260708</v>
      </c>
      <c r="N33" s="84">
        <f>(Data!$F163+Data!$F164+Data!$F165)/(Data!$D9+Data!$D10+Data!$D11)</f>
        <v>1.0576414595452142</v>
      </c>
      <c r="O33" s="84">
        <f>(Data!$F177+Data!$F178+Data!$F179)/(Data!$D9+Data!$D10+Data!$D11)</f>
        <v>1.0576414595452142</v>
      </c>
      <c r="P33" s="84">
        <f>(Data!$F191+Data!$F192+Data!$F193)/(Data!$D9+Data!$D10+Data!$D11)</f>
        <v>1.0576414595452142</v>
      </c>
      <c r="Q33" s="84">
        <f>(Data!$F205+Data!$F206+Data!$F207)/(Data!$D9+Data!$D10+Data!$D11)</f>
        <v>1.5864621893178212</v>
      </c>
      <c r="R33" s="84">
        <f>(Data!$F219+Data!$F220+Data!$F221)/(Data!$D9+Data!$D10+Data!$D11)</f>
        <v>1.5864621893178212</v>
      </c>
      <c r="S33" s="84">
        <f>(Data!$F233+Data!$F234+Data!$F235)/(Data!$D9+Data!$D10+Data!$D11)</f>
        <v>1.5864621893178212</v>
      </c>
      <c r="T33" s="84">
        <f>(Data!$F247+Data!$F248+Data!$F249)/(Data!$D9+Data!$D10+Data!$D11)</f>
        <v>1.5864621893178212</v>
      </c>
      <c r="U33" s="84">
        <f>(Data!$F261+Data!$F262+Data!$F263)/(Data!$D9+Data!$D10+Data!$D11)</f>
        <v>2.1152829190904283</v>
      </c>
      <c r="V33" s="84">
        <f>(Data!$F275+Data!$F276+Data!$F277)/(Data!$D9+Data!$D10+Data!$D11)</f>
        <v>3.7017451084082498</v>
      </c>
      <c r="W33" s="84">
        <f>(Data!$F289+Data!$F290+Data!$F291)/(Data!$D9+Data!$D10+Data!$D11)</f>
        <v>4.7593865679534639</v>
      </c>
      <c r="X33" s="84">
        <f>(Data!$F303+Data!$F304+Data!$F305)/(Data!$D9+Data!$D10+Data!$D11)</f>
        <v>5.2882072977260712</v>
      </c>
      <c r="Y33" s="84">
        <f>(Data!$F317+Data!$F318+Data!$F319)/(Data!$D9+Data!$D10+Data!$D11)</f>
        <v>6.3458487572712849</v>
      </c>
      <c r="Z33" s="84">
        <f>(Data!$F331+Data!$F332+Data!$F333)/(Data!$D9+Data!$D10+Data!$D11)</f>
        <v>8.4611316763617133</v>
      </c>
      <c r="AA33" s="84">
        <f>(Data!$F345+Data!$F346+Data!$F347)/(Data!$D9+Data!$D10+Data!$D11)</f>
        <v>8.4611316763617133</v>
      </c>
      <c r="AB33" s="84">
        <f>(Data!$F359+Data!$F360+Data!$F361)/(Data!$D9+Data!$D10+Data!$D11)</f>
        <v>11.634056054997355</v>
      </c>
      <c r="AC33" s="84">
        <f>(Data!$F373+Data!$F374+Data!$F375)/(Data!$D9+Data!$D10+Data!$D11)</f>
        <v>12.69169751454257</v>
      </c>
      <c r="AD33" s="84">
        <f>(Data!$F387+Data!$F388+Data!$F389)/(Data!$D9+Data!$D10+Data!$D11)</f>
        <v>14.278159703860391</v>
      </c>
      <c r="AE33" s="84">
        <f>(Data!$F401+Data!$F402+Data!$F403)/(Data!$D9+Data!$D10+Data!$D11)</f>
        <v>14.806980433632999</v>
      </c>
      <c r="AF33" s="84">
        <f>(Data!$F415+Data!$F416+Data!$F417)/(Data!$D9+Data!$D10+Data!$D11)</f>
        <v>14.806980433632999</v>
      </c>
      <c r="AG33" s="84">
        <f>(Data!$F429+Data!$F430+Data!$F431)/(Data!$D9+Data!$D10+Data!$D11)</f>
        <v>15.335801163405606</v>
      </c>
      <c r="AH33" s="84">
        <f>(Data!$F443+Data!$F444+Data!$F445)/(Data!$D9+Data!$D10+Data!$D11)</f>
        <v>16.393442622950818</v>
      </c>
      <c r="AI33" s="84">
        <f>(Data!$F457+Data!$F458+Data!$F459)/(Data!$D9+Data!$D10+Data!$D11)</f>
        <v>20.095187731359069</v>
      </c>
      <c r="AJ33" s="84">
        <f>(Data!$F471+Data!$F472+Data!$F473)/(Data!$D9+Data!$D10+Data!$D11)</f>
        <v>21.68164992067689</v>
      </c>
      <c r="AK33" s="84">
        <f>(Data!$F485+Data!$F486+Data!$F487)/(Data!$D9+Data!$D10+Data!$D11)</f>
        <v>21.68164992067689</v>
      </c>
      <c r="AL33" s="84">
        <f>(Data!$F499+Data!$F500+Data!$F501)/(Data!$D9+Data!$D10+Data!$D11)</f>
        <v>23.268112109994711</v>
      </c>
      <c r="AM33" s="84">
        <f>(Data!$F513+Data!$F514+Data!$F515)/(Data!$D9+Data!$D10+Data!$D11)</f>
        <v>24.325753569539927</v>
      </c>
      <c r="AN33" s="84">
        <f>(Data!$F527+Data!$F528+Data!$F529)/(Data!$D9+Data!$D10+Data!$D11)</f>
        <v>24.854574299312532</v>
      </c>
      <c r="AO33" s="84">
        <f>(Data!$F541+Data!$F542+Data!$F543)/(Data!$D9+Data!$D10+Data!$D11)</f>
        <v>25.38339502908514</v>
      </c>
      <c r="AP33" s="84">
        <f>(Data!$F555+Data!$F556+Data!$F557)/(Data!$D9+Data!$D10+Data!$D11)</f>
        <v>25.38339502908514</v>
      </c>
      <c r="AQ33" s="84">
        <f>(Data!$F569+Data!$F570+Data!$F571)/(Data!$D9+Data!$D10+Data!$D11)</f>
        <v>26.969857218402961</v>
      </c>
      <c r="AR33" s="84">
        <f>(Data!$F583+Data!$F584+Data!$F585)/(Data!$D9+Data!$D10+Data!$D11)</f>
        <v>26.969857218402961</v>
      </c>
      <c r="AS33" s="84">
        <f>(Data!$F597+Data!$F598+Data!$F599)/(Data!$D9+Data!$D10+Data!$D11)</f>
        <v>29.08514013749339</v>
      </c>
      <c r="AT33" s="84">
        <f>(Data!$F611+Data!$F612+Data!$F613)/(Data!$D9+Data!$D10+Data!$D11)</f>
        <v>29.08514013749339</v>
      </c>
      <c r="AU33" s="84">
        <f>(Data!$F625+Data!$F626+Data!$F627)/(Data!$D9+Data!$D10+Data!$D11)</f>
        <v>29.08514013749339</v>
      </c>
      <c r="AV33" s="84">
        <f>(Data!$F639+Data!$F640+Data!$F641)/(Data!$D9+Data!$D10+Data!$D11)</f>
        <v>29.613960867265998</v>
      </c>
      <c r="AW33" s="84">
        <f>(Data!$F653+Data!$F654+Data!$F655)/(Data!$D9+Data!$D10+Data!$D11)</f>
        <v>30.142781597038603</v>
      </c>
      <c r="AX33" s="84">
        <f>(Data!$F667+Data!$F668+Data!$F669)/(Data!$D9+Data!$D10+Data!$D11)</f>
        <v>30.671602326811211</v>
      </c>
      <c r="AY33" s="84">
        <f>(Data!$F681+Data!$F682+Data!$F683)/(Data!$D9+Data!$D10+Data!$D11)</f>
        <v>30.671602326811211</v>
      </c>
      <c r="AZ33" s="84">
        <f>(Data!$F695+Data!$F696+Data!$F697)/(Data!$D9+Data!$D10+Data!$D11)</f>
        <v>30.671602326811211</v>
      </c>
      <c r="BA33" s="84">
        <f>(Data!$F709+Data!$F710+Data!$F711)/(Data!$D9+Data!$D10+Data!$D11)</f>
        <v>30.671602326811211</v>
      </c>
      <c r="BB33" s="84">
        <f>(Data!$F723+Data!$F724+Data!$F725)/(Data!$D9+Data!$D10+Data!$D11)</f>
        <v>31.200423056583819</v>
      </c>
      <c r="BC33" s="84">
        <f>(Data!$F737+Data!$F738+Data!$F739)/(Data!$D9+Data!$D10+Data!$D11)</f>
        <v>31.200423056583819</v>
      </c>
      <c r="BD33" s="84">
        <f>(Data!$F751+Data!$F752+Data!$F753)/(Data!$D9+Data!$D10+Data!$D11)</f>
        <v>31.200423056583819</v>
      </c>
      <c r="BE33" s="84">
        <f>(Data!$F765+Data!$F766+Data!$F767)/(Data!$D9+Data!$D10+Data!$D11)</f>
        <v>31.200423056583819</v>
      </c>
      <c r="BF33" s="84">
        <f>(Data!$F779+Data!$F780+Data!$F781)/(Data!$D9+Data!$D10+Data!$D11)</f>
        <v>31.729243786356424</v>
      </c>
      <c r="BG33" s="84">
        <f>(Data!$F793+Data!$F794+Data!$F795)/(Data!$D9+Data!$D10+Data!$D11)</f>
        <v>31.729243786356424</v>
      </c>
      <c r="BH33" s="84">
        <f>(Data!$F807+Data!$F808+Data!$F809)/(Data!$D9+Data!$D10+Data!$D11)</f>
        <v>31.729243786356424</v>
      </c>
      <c r="BI33" s="84">
        <f>(Data!$F821+Data!$F822+Data!$F823)/(Data!$D9+Data!$D10+Data!$D11)</f>
        <v>31.729243786356424</v>
      </c>
      <c r="BJ33" s="84">
        <f>(Data!$F835+Data!$F836+Data!$F837)/(Data!$D9+Data!$D10+Data!$D11)</f>
        <v>32.786885245901637</v>
      </c>
      <c r="BK33" s="84">
        <f>(Data!$F849+Data!$F850+Data!$F851)/(Data!$D9+Data!$D10+Data!$D11)</f>
        <v>32.786885245901637</v>
      </c>
      <c r="BL33" s="84">
        <f>(Data!$F863+Data!$F864+Data!$F865)/(Data!$D9+Data!$D10+Data!$D11)</f>
        <v>32.786885245901637</v>
      </c>
    </row>
    <row r="34" spans="2:64" x14ac:dyDescent="0.3">
      <c r="B34" t="str">
        <f t="shared" si="3"/>
        <v>NFLD</v>
      </c>
      <c r="C34" s="84">
        <f>Data!O12</f>
        <v>0</v>
      </c>
      <c r="D34" s="84">
        <f>Data!O12</f>
        <v>0</v>
      </c>
      <c r="E34" s="84">
        <f>Data!O26</f>
        <v>0</v>
      </c>
      <c r="F34" s="84">
        <f>Data!O54</f>
        <v>1.9083969465648853</v>
      </c>
      <c r="G34" s="84">
        <f>Data!$O68</f>
        <v>1.9083969465648853</v>
      </c>
      <c r="H34" s="84">
        <f>Data!$O82</f>
        <v>1.9083969465648853</v>
      </c>
      <c r="I34" s="84">
        <f>Data!$O96</f>
        <v>1.9083969465648853</v>
      </c>
      <c r="J34" s="84">
        <f>Data!$O110</f>
        <v>1.9083969465648853</v>
      </c>
      <c r="K34" s="84">
        <f>Data!$O124</f>
        <v>3.8167938931297707</v>
      </c>
      <c r="L34" s="84">
        <f>Data!$O138</f>
        <v>3.8167938931297707</v>
      </c>
      <c r="M34" s="84">
        <f>Data!$O152</f>
        <v>3.8167938931297707</v>
      </c>
      <c r="N34" s="84">
        <f>Data!$O166</f>
        <v>3.8167938931297707</v>
      </c>
      <c r="O34" s="84">
        <f>Data!$O180</f>
        <v>3.8167938931297707</v>
      </c>
      <c r="P34" s="84">
        <f>Data!$O194</f>
        <v>3.8167938931297707</v>
      </c>
      <c r="Q34" s="84">
        <f>Data!$O208</f>
        <v>3.8167938931297707</v>
      </c>
      <c r="R34" s="84">
        <f>Data!$O222</f>
        <v>5.7251908396946565</v>
      </c>
      <c r="S34" s="84">
        <f>Data!$O236</f>
        <v>5.7251908396946565</v>
      </c>
      <c r="T34" s="84">
        <f>Data!$O250</f>
        <v>5.7251908396946565</v>
      </c>
      <c r="U34" s="84">
        <f>Data!$O264</f>
        <v>5.7251908396946565</v>
      </c>
      <c r="V34" s="84">
        <f>Data!$O278</f>
        <v>5.7251908396946565</v>
      </c>
      <c r="W34" s="84">
        <f>Data!$O292</f>
        <v>5.7251908396946565</v>
      </c>
      <c r="X34" s="84">
        <f>Data!$O306</f>
        <v>5.7251908396946565</v>
      </c>
      <c r="Y34" s="84">
        <f>Data!$O320</f>
        <v>5.7251908396946565</v>
      </c>
      <c r="Z34" s="84">
        <f>Data!$O334</f>
        <v>5.7251908396946565</v>
      </c>
      <c r="AA34" s="84">
        <f>Data!$O348</f>
        <v>5.7251908396946565</v>
      </c>
      <c r="AB34" s="84">
        <f>Data!$O362</f>
        <v>5.7251908396946565</v>
      </c>
      <c r="AC34" s="84">
        <f>Data!$O376</f>
        <v>5.7251908396946565</v>
      </c>
      <c r="AD34" s="84">
        <f>Data!$O390</f>
        <v>5.7251908396946565</v>
      </c>
      <c r="AE34" s="84">
        <f>Data!$O404</f>
        <v>5.7251908396946565</v>
      </c>
      <c r="AF34" s="84">
        <f>Data!$O418</f>
        <v>5.7251908396946565</v>
      </c>
      <c r="AG34" s="84">
        <f>Data!$O432</f>
        <v>5.7251908396946565</v>
      </c>
      <c r="AH34" s="84">
        <f>Data!$O446</f>
        <v>5.7251908396946565</v>
      </c>
      <c r="AI34" s="84">
        <f>Data!$O460</f>
        <v>5.7251908396946565</v>
      </c>
      <c r="AJ34" s="84">
        <f>Data!$O474</f>
        <v>5.7251908396946565</v>
      </c>
      <c r="AK34" s="84">
        <f>Data!$O488</f>
        <v>5.7251908396946565</v>
      </c>
      <c r="AL34" s="84">
        <f>Data!$O502</f>
        <v>5.7251908396946565</v>
      </c>
      <c r="AM34" s="84">
        <f>Data!$O516</f>
        <v>5.7251908396946565</v>
      </c>
      <c r="AN34" s="84">
        <f>Data!$O530</f>
        <v>5.7251908396946565</v>
      </c>
      <c r="AO34" s="84">
        <f>Data!$O544</f>
        <v>5.7251908396946565</v>
      </c>
      <c r="AP34" s="84">
        <f>Data!$O558</f>
        <v>5.7251908396946565</v>
      </c>
      <c r="AQ34" s="84">
        <f>Data!$O572</f>
        <v>5.7251908396946565</v>
      </c>
      <c r="AR34" s="84">
        <f>Data!$O586</f>
        <v>5.7251908396946565</v>
      </c>
      <c r="AS34" s="84">
        <f>Data!$O600</f>
        <v>5.7251908396946565</v>
      </c>
      <c r="AT34" s="84">
        <f>Data!$O614</f>
        <v>5.7251908396946565</v>
      </c>
      <c r="AU34" s="84">
        <f>Data!$O628</f>
        <v>5.7251908396946565</v>
      </c>
      <c r="AV34" s="84">
        <f>Data!$O642</f>
        <v>5.7251908396946565</v>
      </c>
      <c r="AW34" s="84">
        <f>Data!$O656</f>
        <v>5.7251908396946565</v>
      </c>
      <c r="AX34" s="84">
        <f>Data!$O670</f>
        <v>5.7251908396946565</v>
      </c>
      <c r="AY34" s="84">
        <f>Data!$O684</f>
        <v>5.7251908396946565</v>
      </c>
      <c r="AZ34" s="84">
        <f>Data!$O698</f>
        <v>5.7251908396946565</v>
      </c>
      <c r="BA34" s="84">
        <f>Data!$O712</f>
        <v>5.7251908396946565</v>
      </c>
      <c r="BB34" s="84">
        <f>Data!$O726</f>
        <v>5.7251908396946565</v>
      </c>
      <c r="BC34" s="84">
        <f>Data!$O740</f>
        <v>5.7251908396946565</v>
      </c>
      <c r="BD34" s="84">
        <f>Data!$O754</f>
        <v>5.7251908396946565</v>
      </c>
      <c r="BE34" s="84">
        <f>Data!$O768</f>
        <v>5.7251908396946565</v>
      </c>
      <c r="BF34" s="84">
        <f>Data!$O782</f>
        <v>5.7251908396946565</v>
      </c>
      <c r="BG34" s="84">
        <f>Data!$O796</f>
        <v>5.7251908396946565</v>
      </c>
      <c r="BH34" s="84">
        <f>Data!$O810</f>
        <v>5.7251908396946565</v>
      </c>
      <c r="BI34" s="84">
        <f>Data!$O824</f>
        <v>5.7251908396946565</v>
      </c>
      <c r="BJ34" s="84">
        <f>Data!$O838</f>
        <v>5.7251908396946565</v>
      </c>
      <c r="BK34" s="84">
        <f>Data!$O852</f>
        <v>5.7251908396946565</v>
      </c>
      <c r="BL34" s="84">
        <f>Data!$O866</f>
        <v>5.7251908396946565</v>
      </c>
    </row>
    <row r="35" spans="2:64" x14ac:dyDescent="0.3">
      <c r="B35" t="str">
        <f t="shared" si="3"/>
        <v>Canada</v>
      </c>
      <c r="C35" s="84">
        <f>Data!O13</f>
        <v>1.4627659574468084</v>
      </c>
      <c r="D35" s="84">
        <f>Data!O13</f>
        <v>1.4627659574468084</v>
      </c>
      <c r="E35" s="84">
        <f>Data!O27</f>
        <v>1.675531914893617</v>
      </c>
      <c r="F35" s="84">
        <f>Data!O55</f>
        <v>2.6861702127659575</v>
      </c>
      <c r="G35" s="84">
        <f>Data!$O69</f>
        <v>2.9521276595744679</v>
      </c>
      <c r="H35" s="84">
        <f>Data!$O83</f>
        <v>3.6702127659574466</v>
      </c>
      <c r="I35" s="84">
        <f>Data!$O97</f>
        <v>4.8404255319148932</v>
      </c>
      <c r="J35" s="84">
        <f>Data!$O111</f>
        <v>6.1968085106382977</v>
      </c>
      <c r="K35" s="84">
        <f>Data!$O125</f>
        <v>8.5638297872340416</v>
      </c>
      <c r="L35" s="84">
        <f>Data!$O139</f>
        <v>10.132978723404255</v>
      </c>
      <c r="M35" s="84">
        <f>Data!$O153</f>
        <v>11.569148936170212</v>
      </c>
      <c r="N35" s="84">
        <f>Data!$O167</f>
        <v>13.537234042553191</v>
      </c>
      <c r="O35" s="84">
        <f>Data!$O181</f>
        <v>15.132978723404255</v>
      </c>
      <c r="P35" s="84">
        <f>Data!$O195</f>
        <v>17.367021276595743</v>
      </c>
      <c r="Q35" s="84">
        <f>Data!$O209</f>
        <v>20.74468085106383</v>
      </c>
      <c r="R35" s="84">
        <f>Data!$O223</f>
        <v>23.936170212765955</v>
      </c>
      <c r="S35" s="84">
        <f>Data!$O237</f>
        <v>26.861702127659573</v>
      </c>
      <c r="T35" s="84">
        <f>Data!$O251</f>
        <v>31.808510638297872</v>
      </c>
      <c r="U35" s="84">
        <f>Data!$O265</f>
        <v>34.840425531914889</v>
      </c>
      <c r="V35" s="84">
        <f>Data!$O279</f>
        <v>39.095744680851062</v>
      </c>
      <c r="W35" s="84">
        <f>Data!$O293</f>
        <v>44.946808510638299</v>
      </c>
      <c r="X35" s="84">
        <f>Data!$O307</f>
        <v>48.776595744680847</v>
      </c>
      <c r="Y35" s="84">
        <f>Data!$O321</f>
        <v>52.5</v>
      </c>
      <c r="Z35" s="84">
        <f>Data!$O335</f>
        <v>57.101063829787229</v>
      </c>
      <c r="AA35" s="84">
        <f>Data!$O349</f>
        <v>61.223404255319146</v>
      </c>
      <c r="AB35" s="84">
        <f>Data!$O363</f>
        <v>65.558510638297875</v>
      </c>
      <c r="AC35" s="84">
        <f>Data!$O377</f>
        <v>71.994680851063833</v>
      </c>
      <c r="AD35" s="84">
        <f>Data!$O391</f>
        <v>76.037234042553195</v>
      </c>
      <c r="AE35" s="84">
        <f>Data!$O405</f>
        <v>79.680851063829778</v>
      </c>
      <c r="AF35" s="84">
        <f>Data!$O419</f>
        <v>84.680851063829778</v>
      </c>
      <c r="AG35" s="84">
        <f>Data!$O433</f>
        <v>90.186170212765958</v>
      </c>
      <c r="AH35" s="84">
        <f>Data!$O447</f>
        <v>94.840425531914889</v>
      </c>
      <c r="AI35" s="84">
        <f>Data!$O461</f>
        <v>102.5</v>
      </c>
      <c r="AJ35" s="84">
        <f>Data!$O475</f>
        <v>107.52659574468085</v>
      </c>
      <c r="AK35" s="84">
        <f>Data!$O489</f>
        <v>112.55319148936169</v>
      </c>
      <c r="AL35" s="84">
        <f>Data!$O503</f>
        <v>117.12765957446808</v>
      </c>
      <c r="AM35" s="84">
        <f>Data!$O517</f>
        <v>121.5159574468085</v>
      </c>
      <c r="AN35" s="84">
        <f>Data!$O531</f>
        <v>124.81382978723404</v>
      </c>
      <c r="AO35" s="84">
        <f>Data!$O545</f>
        <v>132.79255319148936</v>
      </c>
      <c r="AP35" s="84">
        <f>Data!$O559</f>
        <v>137.47340425531914</v>
      </c>
      <c r="AQ35" s="84">
        <f>Data!$O573</f>
        <v>141.06382978723403</v>
      </c>
      <c r="AR35" s="84">
        <f>Data!$O587</f>
        <v>145.53191489361703</v>
      </c>
      <c r="AS35" s="84">
        <f>Data!$O601</f>
        <v>147.92553191489361</v>
      </c>
      <c r="AT35" s="84">
        <f>Data!$O615</f>
        <v>151.03723404255319</v>
      </c>
      <c r="AU35" s="84">
        <f>Data!$O629</f>
        <v>155.37234042553192</v>
      </c>
      <c r="AV35" s="84">
        <f>Data!$O643</f>
        <v>157.23404255319147</v>
      </c>
      <c r="AW35" s="84">
        <f>Data!$O657</f>
        <v>160.39893617021275</v>
      </c>
      <c r="AX35" s="84">
        <f>Data!$O671</f>
        <v>163.61702127659575</v>
      </c>
      <c r="AY35" s="84">
        <f>Data!$O685</f>
        <v>166.22340425531914</v>
      </c>
      <c r="AZ35" s="84">
        <f>Data!$O699</f>
        <v>168.93617021276594</v>
      </c>
      <c r="BA35" s="84">
        <f>Data!$O713</f>
        <v>174.06914893617019</v>
      </c>
      <c r="BB35" s="84">
        <f>Data!$O727</f>
        <v>176.56914893617019</v>
      </c>
      <c r="BC35" s="84">
        <f>Data!$O741</f>
        <v>179.92021276595744</v>
      </c>
      <c r="BD35" s="84">
        <f>Data!$O755</f>
        <v>182.89893617021275</v>
      </c>
      <c r="BE35" s="84">
        <f>Data!$O769</f>
        <v>185.61170212765956</v>
      </c>
      <c r="BF35" s="84">
        <f>Data!$O783</f>
        <v>188.11170212765956</v>
      </c>
      <c r="BG35" s="84">
        <f>Data!$O797</f>
        <v>194.84042553191489</v>
      </c>
      <c r="BH35" s="84">
        <f>Data!$O811</f>
        <v>196.67553191489361</v>
      </c>
      <c r="BI35" s="84">
        <f>Data!$O825</f>
        <v>199.41489361702128</v>
      </c>
      <c r="BJ35" s="84">
        <f>Data!$O839</f>
        <v>203.11170212765956</v>
      </c>
      <c r="BK35" s="84">
        <f>Data!$O853</f>
        <v>204.86702127659575</v>
      </c>
      <c r="BL35" s="84">
        <f>Data!$O867</f>
        <v>206.72872340425531</v>
      </c>
    </row>
    <row r="36" spans="2:64" x14ac:dyDescent="0.3">
      <c r="B36" t="str">
        <f t="shared" si="3"/>
        <v>USA</v>
      </c>
      <c r="C36" s="84">
        <f>Data!O14</f>
        <v>4.6788990825688073</v>
      </c>
      <c r="D36" s="84">
        <f>Data!O14</f>
        <v>4.6788990825688073</v>
      </c>
      <c r="E36" s="84">
        <f>Data!O28</f>
        <v>6.0091743119266052</v>
      </c>
      <c r="F36" s="84">
        <f>Data!O56</f>
        <v>11.455657492354741</v>
      </c>
      <c r="G36" s="84">
        <f>Data!$O70</f>
        <v>14.37308868501529</v>
      </c>
      <c r="H36" s="84">
        <f>Data!$O84</f>
        <v>17.688073394495412</v>
      </c>
      <c r="I36" s="84">
        <f>Data!$O98</f>
        <v>21.486238532110093</v>
      </c>
      <c r="J36" s="84">
        <f>Data!$O112</f>
        <v>25.623853211009173</v>
      </c>
      <c r="K36" s="84">
        <f>Data!$O126</f>
        <v>32.782874617737001</v>
      </c>
      <c r="L36" s="84">
        <f>Data!$O140</f>
        <v>38.672782874617738</v>
      </c>
      <c r="M36" s="84">
        <f>Data!$O154</f>
        <v>44.486238532110093</v>
      </c>
      <c r="N36" s="84">
        <f>Data!$O168</f>
        <v>50.226299694189599</v>
      </c>
      <c r="O36" s="84">
        <f>Data!$O182</f>
        <v>56.162079510703364</v>
      </c>
      <c r="P36" s="84">
        <f>Data!$O196</f>
        <v>62.198776758409785</v>
      </c>
      <c r="Q36" s="84">
        <f>Data!$O210</f>
        <v>71.464831804281346</v>
      </c>
      <c r="R36" s="84">
        <f>Data!$O224</f>
        <v>78.495412844036693</v>
      </c>
      <c r="S36" s="84">
        <f>Data!$O238</f>
        <v>86.116207951070336</v>
      </c>
      <c r="T36" s="84">
        <f>Data!$O252</f>
        <v>99.214067278287459</v>
      </c>
      <c r="U36" s="84">
        <f>Data!$O266</f>
        <v>111.85321100917432</v>
      </c>
      <c r="V36" s="84">
        <f>Data!$O280</f>
        <v>119.30886850152905</v>
      </c>
      <c r="W36" s="84">
        <f>Data!$O294</f>
        <v>130.01223241590213</v>
      </c>
      <c r="X36" s="84">
        <f>Data!$O308</f>
        <v>136.85626911314984</v>
      </c>
      <c r="Y36" s="84">
        <f>Data!$O322</f>
        <v>145.04587155963301</v>
      </c>
      <c r="Z36" s="84">
        <f>Data!$O336</f>
        <v>151.82874617737002</v>
      </c>
      <c r="AA36" s="84">
        <f>Data!$O350</f>
        <v>156.38837920489297</v>
      </c>
      <c r="AB36" s="84">
        <f>Data!$O364</f>
        <v>165.92048929663608</v>
      </c>
      <c r="AC36" s="84">
        <f>Data!$O378</f>
        <v>172.24159021406729</v>
      </c>
      <c r="AD36" s="84">
        <f>Data!$O392</f>
        <v>178.47706422018348</v>
      </c>
      <c r="AE36" s="84">
        <f>Data!$O406</f>
        <v>185.4434250764526</v>
      </c>
      <c r="AF36" s="84">
        <f>Data!$O420</f>
        <v>191.651376146789</v>
      </c>
      <c r="AG36" s="84">
        <f>Data!$O434</f>
        <v>198.86544342507645</v>
      </c>
      <c r="AH36" s="84">
        <f>Data!$O448</f>
        <v>204.651376146789</v>
      </c>
      <c r="AI36" s="84">
        <f>Data!$O462</f>
        <v>212.15290519877675</v>
      </c>
      <c r="AJ36" s="84">
        <f>Data!$O476</f>
        <v>218.26299694189603</v>
      </c>
      <c r="AK36" s="84">
        <f>Data!$O490</f>
        <v>226.4250764525994</v>
      </c>
      <c r="AL36" s="84">
        <f>Data!$O504</f>
        <v>234.53516819571865</v>
      </c>
      <c r="AM36" s="84">
        <f>Data!$O518</f>
        <v>238.82262996941895</v>
      </c>
      <c r="AN36" s="84">
        <f>Data!$O532</f>
        <v>244.18042813455656</v>
      </c>
      <c r="AO36" s="84">
        <f>Data!$O546</f>
        <v>249.09785932721712</v>
      </c>
      <c r="AP36" s="84">
        <f>Data!$O560</f>
        <v>254.19266055045873</v>
      </c>
      <c r="AQ36" s="84">
        <f>Data!$O574</f>
        <v>259.16513761467888</v>
      </c>
      <c r="AR36" s="84">
        <f>Data!$O588</f>
        <v>264.15902140672785</v>
      </c>
      <c r="AS36" s="84">
        <f>Data!$O602</f>
        <v>269.0061162079511</v>
      </c>
      <c r="AT36" s="84">
        <f>Data!$O616</f>
        <v>273.3822629969419</v>
      </c>
      <c r="AU36" s="84">
        <f>Data!$O630</f>
        <v>280.13149847094803</v>
      </c>
      <c r="AV36" s="84">
        <f>Data!$O644</f>
        <v>285.30886850152905</v>
      </c>
      <c r="AW36" s="84">
        <f>Data!$O658</f>
        <v>288.4617737003058</v>
      </c>
      <c r="AX36" s="84">
        <f>Data!$O672</f>
        <v>291.96941896024464</v>
      </c>
      <c r="AY36" s="84">
        <f>Data!$O686</f>
        <v>297.53211009174311</v>
      </c>
      <c r="AZ36" s="84">
        <f>Data!$O700</f>
        <v>301.01223241590213</v>
      </c>
      <c r="BA36" s="84">
        <f>Data!$O714</f>
        <v>304.8440366972477</v>
      </c>
      <c r="BB36" s="84">
        <f>Data!$O728</f>
        <v>306.63302752293578</v>
      </c>
      <c r="BC36" s="84">
        <f>Data!$O742</f>
        <v>311.05810397553518</v>
      </c>
      <c r="BD36" s="84">
        <f>Data!$O756</f>
        <v>314.95107033639141</v>
      </c>
      <c r="BE36" s="84">
        <f>Data!$O770</f>
        <v>318.45565749235476</v>
      </c>
      <c r="BF36" s="84">
        <f>Data!$O784</f>
        <v>321.8073394495413</v>
      </c>
      <c r="BG36" s="84">
        <f>Data!$O798</f>
        <v>325.81651376146789</v>
      </c>
      <c r="BH36" s="84">
        <f>Data!$O812</f>
        <v>329.61162079510706</v>
      </c>
      <c r="BI36" s="84">
        <f>Data!$O826</f>
        <v>332.63914373088687</v>
      </c>
      <c r="BJ36" s="84">
        <f>Data!$O840</f>
        <v>336.34556574923545</v>
      </c>
      <c r="BK36" s="84">
        <f>Data!$O854</f>
        <v>340.27217125382265</v>
      </c>
      <c r="BL36" s="84">
        <f>Data!$O868</f>
        <v>342.33027522935782</v>
      </c>
    </row>
    <row r="38" spans="2:64" x14ac:dyDescent="0.3">
      <c r="B38" t="s">
        <v>33</v>
      </c>
      <c r="C38" s="29">
        <f t="shared" ref="C38:J38" si="4">C26</f>
        <v>43917</v>
      </c>
      <c r="D38" s="29">
        <f t="shared" si="4"/>
        <v>43918</v>
      </c>
      <c r="E38" s="29">
        <f t="shared" si="4"/>
        <v>43920</v>
      </c>
      <c r="F38" s="29">
        <f t="shared" si="4"/>
        <v>43921</v>
      </c>
      <c r="G38" s="29">
        <f t="shared" si="4"/>
        <v>43922</v>
      </c>
      <c r="H38" s="29">
        <f t="shared" si="4"/>
        <v>43923</v>
      </c>
      <c r="I38" s="29">
        <f t="shared" si="4"/>
        <v>43924</v>
      </c>
      <c r="J38" s="29">
        <f t="shared" si="4"/>
        <v>43925</v>
      </c>
      <c r="K38" s="29">
        <v>43927</v>
      </c>
      <c r="L38" s="29">
        <v>43928</v>
      </c>
      <c r="M38" s="29">
        <v>43929</v>
      </c>
      <c r="N38" s="29">
        <v>43930</v>
      </c>
      <c r="O38" s="29">
        <v>43931</v>
      </c>
      <c r="P38" s="29">
        <v>43932</v>
      </c>
      <c r="Q38" s="29">
        <v>43934</v>
      </c>
      <c r="R38" s="29">
        <v>43935</v>
      </c>
      <c r="S38" s="29">
        <v>43936</v>
      </c>
      <c r="T38" s="29">
        <v>43937</v>
      </c>
      <c r="U38" s="29">
        <v>43938</v>
      </c>
      <c r="V38" s="29">
        <v>43939</v>
      </c>
      <c r="W38" s="29">
        <v>43941</v>
      </c>
      <c r="X38" s="29">
        <v>43942</v>
      </c>
      <c r="Y38" s="29">
        <v>43943</v>
      </c>
      <c r="Z38" s="29">
        <v>43944</v>
      </c>
      <c r="AA38" s="29">
        <v>43945</v>
      </c>
      <c r="AB38" s="29">
        <v>43946</v>
      </c>
      <c r="AC38" s="29">
        <v>43948</v>
      </c>
      <c r="AD38" s="29">
        <v>43949</v>
      </c>
      <c r="AE38" s="29">
        <v>43950</v>
      </c>
      <c r="AF38" s="29">
        <v>43951</v>
      </c>
      <c r="AG38" s="29">
        <v>43952</v>
      </c>
      <c r="AH38" s="29">
        <v>43953</v>
      </c>
      <c r="AI38" s="29">
        <v>43955</v>
      </c>
      <c r="AJ38" s="29">
        <v>43956</v>
      </c>
      <c r="AK38" s="29">
        <v>43957</v>
      </c>
      <c r="AL38" s="29">
        <v>43958</v>
      </c>
      <c r="AM38" s="29">
        <v>43959</v>
      </c>
      <c r="AN38" s="29">
        <v>43960</v>
      </c>
      <c r="AO38" s="29">
        <v>43962</v>
      </c>
      <c r="AP38" s="29">
        <v>43963</v>
      </c>
      <c r="AQ38" s="29">
        <v>43964</v>
      </c>
      <c r="AR38" s="29">
        <v>43965</v>
      </c>
      <c r="AS38" s="29">
        <v>43966</v>
      </c>
      <c r="AT38" s="29">
        <v>43967</v>
      </c>
      <c r="AU38" s="29">
        <v>43969</v>
      </c>
      <c r="AV38" s="29">
        <v>43970</v>
      </c>
      <c r="AW38" s="29">
        <v>43971</v>
      </c>
      <c r="AX38" s="29">
        <v>43972</v>
      </c>
      <c r="AY38" s="29">
        <v>43973</v>
      </c>
      <c r="AZ38" s="29">
        <v>43974</v>
      </c>
      <c r="BA38" s="29">
        <v>43976</v>
      </c>
      <c r="BB38" s="29">
        <v>43977</v>
      </c>
      <c r="BC38" s="29">
        <v>43978</v>
      </c>
      <c r="BD38" s="29">
        <v>43979</v>
      </c>
      <c r="BE38" s="29">
        <v>43980</v>
      </c>
      <c r="BF38" s="29">
        <v>43981</v>
      </c>
      <c r="BG38" s="29">
        <v>43983</v>
      </c>
      <c r="BH38" s="29">
        <v>43984</v>
      </c>
      <c r="BI38" s="29">
        <v>43985</v>
      </c>
      <c r="BJ38" s="29">
        <v>43986</v>
      </c>
      <c r="BK38" s="29">
        <v>43987</v>
      </c>
      <c r="BL38" s="29">
        <v>43988</v>
      </c>
    </row>
    <row r="39" spans="2:64" x14ac:dyDescent="0.3">
      <c r="B39" t="str">
        <f t="shared" ref="B39:B48" si="5">B27</f>
        <v>Ontario</v>
      </c>
      <c r="C39" s="60">
        <f>Data!$N3</f>
        <v>0.69230769230769229</v>
      </c>
      <c r="D39" s="60">
        <f>Data!$N17</f>
        <v>0.72413793103448276</v>
      </c>
      <c r="E39" s="60">
        <f>Data!$N31</f>
        <v>7.1120689655172417E-2</v>
      </c>
      <c r="F39" s="60">
        <f>Data!$N45</f>
        <v>5.8201058201058198E-2</v>
      </c>
      <c r="G39" s="60">
        <f>Data!$N59</f>
        <v>5.0964187327823693E-2</v>
      </c>
      <c r="H39" s="60">
        <f>Data!$N73</f>
        <v>5.9954751131221722E-2</v>
      </c>
      <c r="I39" s="60">
        <f>Data!$N87</f>
        <v>6.1467889908256884E-2</v>
      </c>
      <c r="J39" s="60">
        <f>Data!$N101</f>
        <v>7.1591774562071595E-2</v>
      </c>
      <c r="K39" s="60">
        <f>Data!$N115</f>
        <v>7.5170842824601361E-2</v>
      </c>
      <c r="L39" s="60">
        <f>Data!$N129</f>
        <v>7.8260869565217397E-2</v>
      </c>
      <c r="M39" s="60">
        <f>Data!$N143</f>
        <v>7.7402135231316727E-2</v>
      </c>
      <c r="N39" s="60">
        <f>Data!$N157</f>
        <v>7.9840319361277445E-2</v>
      </c>
      <c r="O39" s="60">
        <f>Data!$N171</f>
        <v>7.9399141630901282E-2</v>
      </c>
      <c r="P39" s="60">
        <f>Data!$N185</f>
        <v>8.1324333011893277E-2</v>
      </c>
      <c r="Q39" s="60">
        <f>Data!$N199</f>
        <v>7.9769736842105268E-2</v>
      </c>
      <c r="R39" s="60">
        <f>Data!$N213</f>
        <v>8.5597129677088671E-2</v>
      </c>
      <c r="S39" s="60">
        <f>Data!$N227</f>
        <v>8.9806391415908557E-2</v>
      </c>
      <c r="T39" s="60">
        <f>Data!$N241</f>
        <v>9.1617933723196876E-2</v>
      </c>
      <c r="U39" s="60">
        <f>Data!$N255</f>
        <v>9.4954310687326182E-2</v>
      </c>
      <c r="V39" s="60">
        <f>Data!$N269</f>
        <v>9.4624447717231219E-2</v>
      </c>
      <c r="W39" s="60">
        <f>Data!$N283</f>
        <v>9.5753402197081491E-2</v>
      </c>
      <c r="X39" s="60">
        <f>Data!$N297</f>
        <v>9.6764156813939017E-2</v>
      </c>
      <c r="Y39" s="60">
        <f>Data!$N311</f>
        <v>9.5784883720930233E-2</v>
      </c>
      <c r="Z39" s="60">
        <f>Data!$N325</f>
        <v>9.6442580819694299E-2</v>
      </c>
      <c r="AA39" s="60">
        <f>Data!$N339</f>
        <v>9.7197452229299361E-2</v>
      </c>
      <c r="AB39" s="60">
        <f>Data!$N353</f>
        <v>9.7475961538461539E-2</v>
      </c>
      <c r="AC39" s="60">
        <f>Data!$N367</f>
        <v>9.472231071466497E-2</v>
      </c>
      <c r="AD39" s="60">
        <f>Data!$N381</f>
        <v>9.5915279878971249E-2</v>
      </c>
      <c r="AE39" s="60">
        <f>Data!$N395</f>
        <v>9.3891402714932126E-2</v>
      </c>
      <c r="AF39" s="60">
        <f>Data!$N409</f>
        <v>9.5862496677593695E-2</v>
      </c>
      <c r="AG39" s="60">
        <f>Data!$N423</f>
        <v>9.3838941905240253E-2</v>
      </c>
      <c r="AH39" s="60">
        <f>Data!$N437</f>
        <v>9.3585866624224093E-2</v>
      </c>
      <c r="AI39" s="60">
        <f>Data!$N451</f>
        <v>9.4168779427743571E-2</v>
      </c>
      <c r="AJ39" s="60">
        <f>Data!$N465</f>
        <v>9.625176803394625E-2</v>
      </c>
      <c r="AK39" s="60">
        <f>Data!$N479</f>
        <v>9.7536004368302509E-2</v>
      </c>
      <c r="AL39" s="60">
        <f>Data!$N493</f>
        <v>9.8165625415392796E-2</v>
      </c>
      <c r="AM39" s="60">
        <f>Data!$N507</f>
        <v>9.9162910495814549E-2</v>
      </c>
      <c r="AN39" s="60">
        <f>Data!$N521</f>
        <v>0.10005005631335252</v>
      </c>
      <c r="AO39" s="60">
        <f>Data!$N535</f>
        <v>9.9345238095238098E-2</v>
      </c>
      <c r="AP39" s="60">
        <f>Data!$N549</f>
        <v>0.10078289319934564</v>
      </c>
      <c r="AQ39" s="60">
        <f>Data!$N563</f>
        <v>0.10022714366837024</v>
      </c>
      <c r="AR39" s="60">
        <f>Data!$N577</f>
        <v>9.9877791356515949E-2</v>
      </c>
      <c r="AS39" s="60">
        <f>Data!$N591</f>
        <v>9.8830282681685255E-2</v>
      </c>
      <c r="AT39" s="60">
        <f>Data!$N605</f>
        <v>9.8421442949464991E-2</v>
      </c>
      <c r="AU39" s="60">
        <f>Data!$N619</f>
        <v>9.74311738818954E-2</v>
      </c>
      <c r="AV39" s="60">
        <f>Data!$N633</f>
        <v>9.6836049856184089E-2</v>
      </c>
      <c r="AW39" s="60">
        <f>Data!$N647</f>
        <v>9.7360063517268752E-2</v>
      </c>
      <c r="AX39" s="60">
        <f>Data!$N661</f>
        <v>9.7210028289922937E-2</v>
      </c>
      <c r="AY39" s="60">
        <f>Data!$N675</f>
        <v>9.7219549740234751E-2</v>
      </c>
      <c r="AZ39" s="60">
        <f>Data!$N689</f>
        <v>9.6631122015664817E-2</v>
      </c>
      <c r="BA39" s="60">
        <f>Data!$N703</f>
        <v>9.642201834862385E-2</v>
      </c>
      <c r="BB39" s="60">
        <f>Data!$N717</f>
        <v>9.6146007880077891E-2</v>
      </c>
      <c r="BC39" s="60">
        <f>Data!$N731</f>
        <v>9.566298219913881E-2</v>
      </c>
      <c r="BD39" s="60">
        <f>Data!$N745</f>
        <v>9.5748403464263845E-2</v>
      </c>
      <c r="BE39" s="60">
        <f>Data!$N759</f>
        <v>9.6066859087580239E-2</v>
      </c>
      <c r="BF39" s="60">
        <f>Data!$N773</f>
        <v>9.5211864406779659E-2</v>
      </c>
      <c r="BG39" s="60">
        <f>Data!$N787</f>
        <v>9.3167956117728934E-2</v>
      </c>
      <c r="BH39" s="60">
        <f>Data!$N801</f>
        <v>9.254550591274166E-2</v>
      </c>
      <c r="BI39" s="60">
        <f>Data!$N815</f>
        <v>9.2027226047844607E-2</v>
      </c>
      <c r="BJ39" s="60">
        <f>Data!$N829</f>
        <v>9.2196362213964406E-2</v>
      </c>
      <c r="BK39" s="60">
        <f>Data!$N843</f>
        <v>9.1388942400308232E-2</v>
      </c>
      <c r="BL39" s="60">
        <f>Data!$N857</f>
        <v>9.1333383926538669E-2</v>
      </c>
    </row>
    <row r="40" spans="2:64" x14ac:dyDescent="0.3">
      <c r="B40" t="str">
        <f t="shared" si="5"/>
        <v>Quebec</v>
      </c>
      <c r="C40" s="60">
        <f>Data!$N4</f>
        <v>0.38297872340425532</v>
      </c>
      <c r="D40" s="60">
        <f>Data!$N18</f>
        <v>0.43137254901960786</v>
      </c>
      <c r="E40" s="60">
        <f>Data!$N32</f>
        <v>0.46296296296296297</v>
      </c>
      <c r="F40" s="60">
        <f>Data!$N46</f>
        <v>0.51666666666666672</v>
      </c>
      <c r="G40" s="60">
        <f>Data!$N60</f>
        <v>0.532258064516129</v>
      </c>
      <c r="H40" s="60">
        <f>Data!$N74</f>
        <v>0.55384615384615388</v>
      </c>
      <c r="I40" s="60">
        <f>Data!$N88</f>
        <v>0.16621253405994552</v>
      </c>
      <c r="J40" s="60">
        <f>Data!$N102</f>
        <v>0.19685039370078741</v>
      </c>
      <c r="K40" s="60">
        <f>Data!$N116</f>
        <v>0.16530054644808742</v>
      </c>
      <c r="L40" s="60">
        <f>Data!$N130</f>
        <v>0.17241379310344829</v>
      </c>
      <c r="M40" s="60">
        <f>Data!$N144</f>
        <v>0.17465069860279442</v>
      </c>
      <c r="N40" s="60">
        <f>Data!$N158</f>
        <v>0.16265060240963855</v>
      </c>
      <c r="O40" s="60">
        <f>Data!$N172</f>
        <v>0.15233881163084703</v>
      </c>
      <c r="P40" s="60">
        <f>Data!$N186</f>
        <v>0.17730061349693252</v>
      </c>
      <c r="Q40" s="60">
        <f>Data!$N200</f>
        <v>0.15371477369769429</v>
      </c>
      <c r="R40" s="60">
        <f>Data!$N214</f>
        <v>0.16853932584269662</v>
      </c>
      <c r="S40" s="60">
        <f>Data!$N228</f>
        <v>0.16353257219610476</v>
      </c>
      <c r="T40" s="60">
        <f>Data!$N242</f>
        <v>0.1815038893690579</v>
      </c>
      <c r="U40" s="60">
        <f>Data!$N256</f>
        <v>0.18317358892438765</v>
      </c>
      <c r="V40" s="60">
        <f>Data!$N270</f>
        <v>0.1953883495145631</v>
      </c>
      <c r="W40" s="60">
        <f>Data!$N284</f>
        <v>0.19619724195570415</v>
      </c>
      <c r="X40" s="60">
        <f>Data!$N298</f>
        <v>0.20455885242680291</v>
      </c>
      <c r="Y40" s="60">
        <f>Data!$N312</f>
        <v>0.20903225806451614</v>
      </c>
      <c r="Z40" s="60">
        <f>Data!$N326</f>
        <v>0.21704208136895409</v>
      </c>
      <c r="AA40" s="60">
        <f>Data!$N340</f>
        <v>0.22097625329815304</v>
      </c>
      <c r="AB40" s="60">
        <f>Data!$N354</f>
        <v>0.22235891127172075</v>
      </c>
      <c r="AC40" s="60">
        <f>Data!$N368</f>
        <v>0.22470489038785835</v>
      </c>
      <c r="AD40" s="60">
        <f>Data!$N382</f>
        <v>0.22358101821082016</v>
      </c>
      <c r="AE40" s="60">
        <f>Data!$N396</f>
        <v>0.22550902804456396</v>
      </c>
      <c r="AF40" s="60">
        <f>Data!$N410</f>
        <v>0.22787447903898014</v>
      </c>
      <c r="AG40" s="60">
        <f>Data!$N424</f>
        <v>0.23182756248566844</v>
      </c>
      <c r="AH40" s="60">
        <f>Data!$N438</f>
        <v>0.2346994835732337</v>
      </c>
      <c r="AI40" s="60">
        <f>Data!$N452</f>
        <v>0.23128423615337795</v>
      </c>
      <c r="AJ40" s="60">
        <f>Data!$N466</f>
        <v>0.23234182734231179</v>
      </c>
      <c r="AK40" s="60">
        <f>Data!$N480</f>
        <v>0.23253659440429869</v>
      </c>
      <c r="AL40" s="60">
        <f>Data!$N494</f>
        <v>0.23274946921443737</v>
      </c>
      <c r="AM40" s="60">
        <f>Data!$N508</f>
        <v>0.23384536170943104</v>
      </c>
      <c r="AN40" s="60">
        <f>Data!$N522</f>
        <v>0.23112659698025551</v>
      </c>
      <c r="AO40" s="60">
        <f>Data!$N536</f>
        <v>0.2369455803711859</v>
      </c>
      <c r="AP40" s="60">
        <f>Data!$N550</f>
        <v>0.23743080306362327</v>
      </c>
      <c r="AQ40" s="60">
        <f>Data!$N564</f>
        <v>0.23520818115412709</v>
      </c>
      <c r="AR40" s="60">
        <f>Data!$N578</f>
        <v>0.23631875881523273</v>
      </c>
      <c r="AS40" s="60">
        <f>Data!$N592</f>
        <v>0.23552631578947369</v>
      </c>
      <c r="AT40" s="60">
        <f>Data!$N606</f>
        <v>0.23311692657787297</v>
      </c>
      <c r="AU40" s="60">
        <f>Data!$N620</f>
        <v>0.22990857362061248</v>
      </c>
      <c r="AV40" s="60">
        <f>Data!$N634</f>
        <v>0.22590436075322101</v>
      </c>
      <c r="AW40" s="60">
        <f>Data!$N648</f>
        <v>0.22478839177750906</v>
      </c>
      <c r="AX40" s="60">
        <f>Data!$N662</f>
        <v>0.22187189817247621</v>
      </c>
      <c r="AY40" s="60">
        <f>Data!$N676</f>
        <v>0.21855914951368469</v>
      </c>
      <c r="AZ40" s="60">
        <f>Data!$N690</f>
        <v>0.21908362989323843</v>
      </c>
      <c r="BA40" s="60">
        <f>Data!$N704</f>
        <v>0.21732628318111413</v>
      </c>
      <c r="BB40" s="60">
        <f>Data!$N718</f>
        <v>0.2162712927160623</v>
      </c>
      <c r="BC40" s="60">
        <f>Data!$N732</f>
        <v>0.21629917634419604</v>
      </c>
      <c r="BD40" s="60">
        <f>Data!$N746</f>
        <v>0.21596385542168675</v>
      </c>
      <c r="BE40" s="60">
        <f>Data!$N760</f>
        <v>0.21523358492427605</v>
      </c>
      <c r="BF40" s="60">
        <f>Data!$N774</f>
        <v>0.21644156224096739</v>
      </c>
      <c r="BG40" s="60">
        <f>Data!$N788</f>
        <v>0.21925863204440682</v>
      </c>
      <c r="BH40" s="60">
        <f>Data!$N802</f>
        <v>0.21904629113218071</v>
      </c>
      <c r="BI40" s="60">
        <f>Data!$N816</f>
        <v>0.21898410378220354</v>
      </c>
      <c r="BJ40" s="60">
        <f>Data!$N830</f>
        <v>0.2198370910400072</v>
      </c>
      <c r="BK40" s="60">
        <f>Data!$N844</f>
        <v>0.21741045861051148</v>
      </c>
      <c r="BL40" s="60">
        <f>Data!$N858</f>
        <v>0.21255666752202548</v>
      </c>
    </row>
    <row r="41" spans="2:64" x14ac:dyDescent="0.3">
      <c r="B41" t="str">
        <f t="shared" si="5"/>
        <v>BC</v>
      </c>
      <c r="C41" s="60">
        <f>Data!$N5</f>
        <v>5.4982817869415807E-2</v>
      </c>
      <c r="D41" s="60">
        <f>Data!$N19</f>
        <v>4.1162227602905568E-2</v>
      </c>
      <c r="E41" s="60">
        <f>Data!$N33</f>
        <v>3.8934426229508198E-2</v>
      </c>
      <c r="F41" s="60">
        <f>Data!$N47</f>
        <v>4.519774011299435E-2</v>
      </c>
      <c r="G41" s="60">
        <f>Data!$N61</f>
        <v>3.9619651347068144E-2</v>
      </c>
      <c r="H41" s="60">
        <f>Data!$N75</f>
        <v>4.6130952380952384E-2</v>
      </c>
      <c r="I41" s="60">
        <f>Data!$N89</f>
        <v>5.1775147928994084E-2</v>
      </c>
      <c r="J41" s="60">
        <f>Data!$N103</f>
        <v>5.1212938005390833E-2</v>
      </c>
      <c r="K41" s="60">
        <f>Data!$N117</f>
        <v>4.7445255474452552E-2</v>
      </c>
      <c r="L41" s="60">
        <f>Data!$N131</f>
        <v>5.0707547169811323E-2</v>
      </c>
      <c r="M41" s="60">
        <f>Data!$N145</f>
        <v>5.4176072234762979E-2</v>
      </c>
      <c r="N41" s="60">
        <f>Data!$N159</f>
        <v>5.5066079295154183E-2</v>
      </c>
      <c r="O41" s="60">
        <f>Data!$N173</f>
        <v>5.8886509635974305E-2</v>
      </c>
      <c r="P41" s="60">
        <f>Data!$N187</f>
        <v>6.0228452751817235E-2</v>
      </c>
      <c r="Q41" s="60">
        <f>Data!$N201</f>
        <v>6.9346733668341709E-2</v>
      </c>
      <c r="R41" s="60">
        <f>Data!$N215</f>
        <v>7.1005917159763315E-2</v>
      </c>
      <c r="S41" s="60">
        <f>Data!$N229</f>
        <v>7.0093457943925228E-2</v>
      </c>
      <c r="T41" s="60">
        <f>Data!$N243</f>
        <v>7.3515551366635248E-2</v>
      </c>
      <c r="U41" s="60">
        <f>Data!$N257</f>
        <v>7.4712643678160925E-2</v>
      </c>
      <c r="V41" s="60">
        <f>Data!$N271</f>
        <v>7.5842696629213488E-2</v>
      </c>
      <c r="W41" s="60">
        <f>Data!$N285</f>
        <v>7.644444444444444E-2</v>
      </c>
      <c r="X41" s="60">
        <f>Data!$N299</f>
        <v>7.7127659574468085E-2</v>
      </c>
      <c r="Y41" s="60">
        <f>Data!$N313</f>
        <v>7.6988879384088965E-2</v>
      </c>
      <c r="Z41" s="60">
        <f>Data!$N327</f>
        <v>7.9258010118043842E-2</v>
      </c>
      <c r="AA41" s="60">
        <f>Data!$N341</f>
        <v>8.0858085808580851E-2</v>
      </c>
      <c r="AB41" s="60">
        <f>Data!$N355</f>
        <v>8.084074373484236E-2</v>
      </c>
      <c r="AC41" s="60">
        <f>Data!$N369</f>
        <v>7.965970610982212E-2</v>
      </c>
      <c r="AD41" s="60">
        <f>Data!$N383</f>
        <v>7.859281437125748E-2</v>
      </c>
      <c r="AE41" s="60">
        <f>Data!$N397</f>
        <v>7.7086280056577083E-2</v>
      </c>
      <c r="AF41" s="60">
        <f>Data!$N411</f>
        <v>7.7298050139275765E-2</v>
      </c>
      <c r="AG41" s="60">
        <f>Data!$N425</f>
        <v>7.7459874389392877E-2</v>
      </c>
      <c r="AH41" s="60">
        <f>Data!$N439</f>
        <v>7.6242341729067395E-2</v>
      </c>
      <c r="AI41" s="60">
        <f>Data!$N453</f>
        <v>7.6271186440677971E-2</v>
      </c>
      <c r="AJ41" s="60">
        <f>Data!$N467</f>
        <v>7.595731324544884E-2</v>
      </c>
      <c r="AK41" s="60">
        <f>Data!$N481</f>
        <v>7.6637824474660068E-2</v>
      </c>
      <c r="AL41" s="60">
        <f>Data!$N495</f>
        <v>7.6923076923076927E-2</v>
      </c>
      <c r="AM41" s="60">
        <f>Data!$N509</f>
        <v>7.4443141852286052E-2</v>
      </c>
      <c r="AN41" s="60">
        <f>Data!$N523</f>
        <v>7.2147651006711416E-2</v>
      </c>
      <c r="AO41" s="60">
        <f>Data!$N537</f>
        <v>7.0308274743104388E-2</v>
      </c>
      <c r="AP41" s="60">
        <f>Data!$N551</f>
        <v>6.6734589913397854E-2</v>
      </c>
      <c r="AQ41" s="60">
        <f>Data!$N565</f>
        <v>6.6298342541436461E-2</v>
      </c>
      <c r="AR41" s="60">
        <f>Data!$N579</f>
        <v>6.6831683168316836E-2</v>
      </c>
      <c r="AS41" s="60">
        <f>Data!$N593</f>
        <v>6.8359375E-2</v>
      </c>
      <c r="AT41" s="60">
        <f>Data!$N607</f>
        <v>6.8017366136034735E-2</v>
      </c>
      <c r="AU41" s="60">
        <f>Data!$N621</f>
        <v>6.7804646752015169E-2</v>
      </c>
      <c r="AV41" s="60">
        <f>Data!$N635</f>
        <v>6.883545497406883E-2</v>
      </c>
      <c r="AW41" s="60">
        <f>Data!$N649</f>
        <v>7.0150659133709978E-2</v>
      </c>
      <c r="AX41" s="60">
        <f>Data!$N663</f>
        <v>6.9981583793738492E-2</v>
      </c>
      <c r="AY41" s="60">
        <f>Data!$N677</f>
        <v>7.0550751024123809E-2</v>
      </c>
      <c r="AZ41" s="60">
        <f>Data!$N691</f>
        <v>7.0912375790424573E-2</v>
      </c>
      <c r="BA41" s="60">
        <f>Data!$N705</f>
        <v>7.1144498453380473E-2</v>
      </c>
      <c r="BB41" s="60">
        <f>Data!$N719</f>
        <v>7.0521243977222953E-2</v>
      </c>
      <c r="BC41" s="60">
        <f>Data!$N733</f>
        <v>7.0251517779705119E-2</v>
      </c>
      <c r="BD41" s="60">
        <f>Data!$N747</f>
        <v>7.0781182563659908E-2</v>
      </c>
      <c r="BE41" s="60">
        <f>Data!$N761</f>
        <v>7.0265638389031701E-2</v>
      </c>
      <c r="BF41" s="60">
        <f>Data!$N775</f>
        <v>6.9936034115138587E-2</v>
      </c>
      <c r="BG41" s="60">
        <f>Data!$N789</f>
        <v>6.9561551433389546E-2</v>
      </c>
      <c r="BH41" s="60">
        <f>Data!$N803</f>
        <v>6.8922305764411024E-2</v>
      </c>
      <c r="BI41" s="60">
        <f>Data!$N817</f>
        <v>6.8908260689082609E-2</v>
      </c>
      <c r="BJ41" s="60">
        <f>Data!$N831</f>
        <v>6.8284656519950637E-2</v>
      </c>
      <c r="BK41" s="60">
        <f>Data!$N845</f>
        <v>6.8470684706847071E-2</v>
      </c>
      <c r="BL41" s="60">
        <f>Data!$N859</f>
        <v>6.8470684706847071E-2</v>
      </c>
    </row>
    <row r="42" spans="2:64" x14ac:dyDescent="0.3">
      <c r="B42" t="str">
        <f t="shared" si="5"/>
        <v>Alberta</v>
      </c>
      <c r="C42" s="60">
        <f>Data!$N6</f>
        <v>5.7142857142857141E-2</v>
      </c>
      <c r="D42" s="60">
        <f>Data!$N20</f>
        <v>3.6363636363636362E-2</v>
      </c>
      <c r="E42" s="60">
        <f>Data!$N34</f>
        <v>7.8431372549019607E-2</v>
      </c>
      <c r="F42" s="60">
        <f>Data!$N48</f>
        <v>6.9767441860465115E-2</v>
      </c>
      <c r="G42" s="60">
        <f>Data!$N62</f>
        <v>7.1895424836601302E-2</v>
      </c>
      <c r="H42" s="60">
        <f>Data!$N76</f>
        <v>6.9518716577540107E-2</v>
      </c>
      <c r="I42" s="60">
        <f>Data!$N90</f>
        <v>9.4890510948905105E-2</v>
      </c>
      <c r="J42" s="60">
        <f>Data!$N104</f>
        <v>9.2592592592592587E-2</v>
      </c>
      <c r="K42" s="60">
        <f>Data!$N118</f>
        <v>7.2327044025157231E-2</v>
      </c>
      <c r="L42" s="60">
        <f>Data!$N132</f>
        <v>5.4968287526427059E-2</v>
      </c>
      <c r="M42" s="60">
        <f>Data!$N146</f>
        <v>5.2919708029197078E-2</v>
      </c>
      <c r="N42" s="60">
        <f>Data!$N160</f>
        <v>5.128205128205128E-2</v>
      </c>
      <c r="O42" s="60">
        <f>Data!$N174</f>
        <v>5.1861702127659573E-2</v>
      </c>
      <c r="P42" s="60">
        <f>Data!$N188</f>
        <v>4.797047970479705E-2</v>
      </c>
      <c r="Q42" s="60">
        <f>Data!$N202</f>
        <v>4.9837486457204767E-2</v>
      </c>
      <c r="R42" s="60">
        <f>Data!$N216</f>
        <v>4.9896049896049899E-2</v>
      </c>
      <c r="S42" s="60">
        <f>Data!$N230</f>
        <v>4.9896049896049899E-2</v>
      </c>
      <c r="T42" s="60">
        <f>Data!$N244</f>
        <v>5.1867219917012451E-2</v>
      </c>
      <c r="U42" s="60">
        <f>Data!$N258</f>
        <v>4.2589437819420782E-2</v>
      </c>
      <c r="V42" s="60">
        <f>Data!$N272</f>
        <v>3.6480686695278972E-2</v>
      </c>
      <c r="W42" s="60">
        <f>Data!$N286</f>
        <v>4.5771916214119475E-2</v>
      </c>
      <c r="X42" s="60">
        <f>Data!$N300</f>
        <v>4.572713643178411E-2</v>
      </c>
      <c r="Y42" s="60">
        <f>Data!$N314</f>
        <v>4.7965116279069769E-2</v>
      </c>
      <c r="Z42" s="60">
        <f>Data!$N328</f>
        <v>4.7050561797752806E-2</v>
      </c>
      <c r="AA42" s="60">
        <f>Data!$N342</f>
        <v>4.9012933968686181E-2</v>
      </c>
      <c r="AB42" s="60">
        <f>Data!$N356</f>
        <v>4.7279792746113991E-2</v>
      </c>
      <c r="AC42" s="60">
        <f>Data!$N370</f>
        <v>4.3128234617596323E-2</v>
      </c>
      <c r="AD42" s="60">
        <f>Data!$N384</f>
        <v>4.2553191489361701E-2</v>
      </c>
      <c r="AE42" s="60">
        <f>Data!$N398</f>
        <v>4.2647058823529413E-2</v>
      </c>
      <c r="AF42" s="60">
        <f>Data!$N412</f>
        <v>3.9555555555555552E-2</v>
      </c>
      <c r="AG42" s="60">
        <f>Data!$N426</f>
        <v>3.7535699714402286E-2</v>
      </c>
      <c r="AH42" s="60">
        <f>Data!$N440</f>
        <v>3.5768645357686452E-2</v>
      </c>
      <c r="AI42" s="60">
        <f>Data!$N454</f>
        <v>3.4143138542350626E-2</v>
      </c>
      <c r="AJ42" s="60">
        <f>Data!$N468</f>
        <v>3.18796992481203E-2</v>
      </c>
      <c r="AK42" s="60">
        <f>Data!$N482</f>
        <v>3.0567685589519649E-2</v>
      </c>
      <c r="AL42" s="60">
        <f>Data!$N496</f>
        <v>2.9059393321437674E-2</v>
      </c>
      <c r="AM42" s="60">
        <f>Data!$N510</f>
        <v>2.7811366384522369E-2</v>
      </c>
      <c r="AN42" s="60">
        <f>Data!$N524</f>
        <v>2.6851851851851852E-2</v>
      </c>
      <c r="AO42" s="60">
        <f>Data!$N538</f>
        <v>2.4497487437185928E-2</v>
      </c>
      <c r="AP42" s="60">
        <f>Data!$N552</f>
        <v>2.3675762439807384E-2</v>
      </c>
      <c r="AQ42" s="60">
        <f>Data!$N566</f>
        <v>2.3094688221709007E-2</v>
      </c>
      <c r="AR42" s="60">
        <f>Data!$N580</f>
        <v>2.2718738265114533E-2</v>
      </c>
      <c r="AS42" s="60">
        <f>Data!$N594</f>
        <v>2.2969496508636531E-2</v>
      </c>
      <c r="AT42" s="60">
        <f>Data!$N608</f>
        <v>2.2896601853534437E-2</v>
      </c>
      <c r="AU42" s="60">
        <f>Data!$N622</f>
        <v>2.2666902780237294E-2</v>
      </c>
      <c r="AV42" s="60">
        <f>Data!$N636</f>
        <v>2.2408963585434174E-2</v>
      </c>
      <c r="AW42" s="60">
        <f>Data!$N650</f>
        <v>2.220294882914137E-2</v>
      </c>
      <c r="AX42" s="60">
        <f>Data!$N664</f>
        <v>2.2595001711742554E-2</v>
      </c>
      <c r="AY42" s="60">
        <f>Data!$N678</f>
        <v>2.257792754844145E-2</v>
      </c>
      <c r="AZ42" s="60">
        <f>Data!$N692</f>
        <v>2.2485009993337773E-2</v>
      </c>
      <c r="BA42" s="60">
        <f>Data!$N706</f>
        <v>2.2560078469838155E-2</v>
      </c>
      <c r="BB42" s="60">
        <f>Data!$N720</f>
        <v>2.2466461936318086E-2</v>
      </c>
      <c r="BC42" s="60">
        <f>Data!$N734</f>
        <v>2.2570834000320155E-2</v>
      </c>
      <c r="BD42" s="60">
        <f>Data!$N748</f>
        <v>2.2687609075043629E-2</v>
      </c>
      <c r="BE42" s="60">
        <f>Data!$N762</f>
        <v>2.2480742021694703E-2</v>
      </c>
      <c r="BF42" s="60">
        <f>Data!$N776</f>
        <v>2.2385723231058235E-2</v>
      </c>
      <c r="BG42" s="60">
        <f>Data!$N790</f>
        <v>2.1523178807947019E-2</v>
      </c>
      <c r="BH42" s="60">
        <f>Data!$N804</f>
        <v>2.1407185628742515E-2</v>
      </c>
      <c r="BI42" s="60">
        <f>Data!$N818</f>
        <v>2.1538918597742127E-2</v>
      </c>
      <c r="BJ42" s="60">
        <f>Data!$N832</f>
        <v>2.1607222140002959E-2</v>
      </c>
      <c r="BK42" s="60">
        <f>Data!$N846</f>
        <v>2.1565731166912849E-2</v>
      </c>
      <c r="BL42" s="60">
        <f>Data!$N860</f>
        <v>2.1464275213172596E-2</v>
      </c>
    </row>
    <row r="43" spans="2:64" x14ac:dyDescent="0.3">
      <c r="B43" t="str">
        <f t="shared" si="5"/>
        <v>Manitoba</v>
      </c>
      <c r="C43" s="60">
        <f>Data!$N7</f>
        <v>1</v>
      </c>
      <c r="D43" s="60">
        <f>Data!$N21</f>
        <v>1</v>
      </c>
      <c r="E43" s="60">
        <f>Data!$N35</f>
        <v>0.33333333333333331</v>
      </c>
      <c r="F43" s="60">
        <f>Data!$N49</f>
        <v>0.2</v>
      </c>
      <c r="G43" s="60">
        <f>Data!$N63</f>
        <v>0.2</v>
      </c>
      <c r="H43" s="60">
        <f>Data!$N77</f>
        <v>8.3333333333333329E-2</v>
      </c>
      <c r="I43" s="60">
        <f>Data!$N91</f>
        <v>0.2</v>
      </c>
      <c r="J43" s="60">
        <f>Data!$N105</f>
        <v>0.15384615384615385</v>
      </c>
      <c r="K43" s="60">
        <f>Data!$N119</f>
        <v>0.10526315789473684</v>
      </c>
      <c r="L43" s="60">
        <f>Data!$N133</f>
        <v>0.125</v>
      </c>
      <c r="M43" s="60">
        <f>Data!$N147</f>
        <v>4.1666666666666664E-2</v>
      </c>
      <c r="N43" s="60">
        <f>Data!$N161</f>
        <v>3.7974683544303799E-2</v>
      </c>
      <c r="O43" s="60">
        <f>Data!$N175</f>
        <v>4.1666666666666664E-2</v>
      </c>
      <c r="P43" s="60">
        <f>Data!$N189</f>
        <v>0.04</v>
      </c>
      <c r="Q43" s="60">
        <f>Data!$N203</f>
        <v>3.8834951456310676E-2</v>
      </c>
      <c r="R43" s="60">
        <f>Data!$N217</f>
        <v>3.8834951456310676E-2</v>
      </c>
      <c r="S43" s="60">
        <f>Data!$N231</f>
        <v>4.4247787610619468E-2</v>
      </c>
      <c r="T43" s="60">
        <f>Data!$N245</f>
        <v>3.968253968253968E-2</v>
      </c>
      <c r="U43" s="60">
        <f>Data!$N259</f>
        <v>3.6496350364963501E-2</v>
      </c>
      <c r="V43" s="60">
        <f>Data!$N273</f>
        <v>3.4482758620689655E-2</v>
      </c>
      <c r="W43" s="60">
        <f>Data!$N287</f>
        <v>0.04</v>
      </c>
      <c r="X43" s="60">
        <f>Data!$N301</f>
        <v>3.8461538461538464E-2</v>
      </c>
      <c r="Y43" s="60">
        <f>Data!$N315</f>
        <v>3.7499999999999999E-2</v>
      </c>
      <c r="Z43" s="60">
        <f>Data!$N329</f>
        <v>3.3333333333333333E-2</v>
      </c>
      <c r="AA43" s="60">
        <f>Data!$N343</f>
        <v>2.9702970297029702E-2</v>
      </c>
      <c r="AB43" s="60">
        <f>Data!$N357</f>
        <v>2.9268292682926831E-2</v>
      </c>
      <c r="AC43" s="60">
        <f>Data!$N371</f>
        <v>2.843601895734597E-2</v>
      </c>
      <c r="AD43" s="60">
        <f>Data!$N385</f>
        <v>2.843601895734597E-2</v>
      </c>
      <c r="AE43" s="60">
        <f>Data!$N399</f>
        <v>2.7397260273972601E-2</v>
      </c>
      <c r="AF43" s="60">
        <f>Data!$N413</f>
        <v>2.6548672566371681E-2</v>
      </c>
      <c r="AG43" s="60">
        <f>Data!$N427</f>
        <v>2.4896265560165973E-2</v>
      </c>
      <c r="AH43" s="60">
        <f>Data!$N441</f>
        <v>2.4793388429752067E-2</v>
      </c>
      <c r="AI43" s="60">
        <f>Data!$N455</f>
        <v>2.4590163934426229E-2</v>
      </c>
      <c r="AJ43" s="60">
        <f>Data!$N469</f>
        <v>2.8571428571428571E-2</v>
      </c>
      <c r="AK43" s="60">
        <f>Data!$N483</f>
        <v>2.8112449799196786E-2</v>
      </c>
      <c r="AL43" s="60">
        <f>Data!$N497</f>
        <v>2.8000000000000001E-2</v>
      </c>
      <c r="AM43" s="60">
        <f>Data!$N511</f>
        <v>2.7559055118110236E-2</v>
      </c>
      <c r="AN43" s="60">
        <f>Data!$N525</f>
        <v>2.7559055118110236E-2</v>
      </c>
      <c r="AO43" s="60">
        <f>Data!$N539</f>
        <v>2.7559055118110236E-2</v>
      </c>
      <c r="AP43" s="60">
        <f>Data!$N553</f>
        <v>2.7131782945736434E-2</v>
      </c>
      <c r="AQ43" s="60">
        <f>Data!$N567</f>
        <v>2.7131782945736434E-2</v>
      </c>
      <c r="AR43" s="60">
        <f>Data!$N581</f>
        <v>2.7027027027027029E-2</v>
      </c>
      <c r="AS43" s="60">
        <f>Data!$N595</f>
        <v>2.681992337164751E-2</v>
      </c>
      <c r="AT43" s="60">
        <f>Data!$N609</f>
        <v>2.6515151515151516E-2</v>
      </c>
      <c r="AU43" s="60">
        <f>Data!$N623</f>
        <v>2.6515151515151516E-2</v>
      </c>
      <c r="AV43" s="60">
        <f>Data!$N637</f>
        <v>2.6515151515151516E-2</v>
      </c>
      <c r="AW43" s="60">
        <f>Data!$N651</f>
        <v>2.6217228464419477E-2</v>
      </c>
      <c r="AX43" s="60">
        <f>Data!$N665</f>
        <v>2.5735294117647058E-2</v>
      </c>
      <c r="AY43" s="60">
        <f>Data!$N679</f>
        <v>2.5547445255474453E-2</v>
      </c>
      <c r="AZ43" s="60">
        <f>Data!$N693</f>
        <v>2.5454545454545455E-2</v>
      </c>
      <c r="BA43" s="60">
        <f>Data!$N707</f>
        <v>2.5454545454545455E-2</v>
      </c>
      <c r="BB43" s="60">
        <f>Data!$N721</f>
        <v>2.5362318840579712E-2</v>
      </c>
      <c r="BC43" s="60">
        <f>Data!$N735</f>
        <v>2.5179856115107913E-2</v>
      </c>
      <c r="BD43" s="60">
        <f>Data!$N749</f>
        <v>2.5000000000000001E-2</v>
      </c>
      <c r="BE43" s="60">
        <f>Data!$N763</f>
        <v>2.5000000000000001E-2</v>
      </c>
      <c r="BF43" s="60">
        <f>Data!$N777</f>
        <v>2.456140350877193E-2</v>
      </c>
      <c r="BG43" s="60">
        <f>Data!$N791</f>
        <v>2.456140350877193E-2</v>
      </c>
      <c r="BH43" s="60">
        <f>Data!$N805</f>
        <v>2.456140350877193E-2</v>
      </c>
      <c r="BI43" s="60">
        <f>Data!$N819</f>
        <v>2.4221453287197232E-2</v>
      </c>
      <c r="BJ43" s="60">
        <f>Data!$N833</f>
        <v>2.4054982817869417E-2</v>
      </c>
      <c r="BK43" s="60">
        <f>Data!$N847</f>
        <v>2.4054982817869417E-2</v>
      </c>
      <c r="BL43" s="60">
        <f>Data!$N861</f>
        <v>2.4054982817869417E-2</v>
      </c>
    </row>
    <row r="44" spans="2:64" x14ac:dyDescent="0.3">
      <c r="B44" t="str">
        <f t="shared" si="5"/>
        <v>Sask</v>
      </c>
      <c r="C44" s="60">
        <f>Data!$N8</f>
        <v>0</v>
      </c>
      <c r="D44" s="60">
        <f>Data!$N22</f>
        <v>0</v>
      </c>
      <c r="E44" s="60">
        <f>Data!$N36</f>
        <v>0.2</v>
      </c>
      <c r="F44" s="60">
        <f>Data!$N50</f>
        <v>8.6956521739130432E-2</v>
      </c>
      <c r="G44" s="60">
        <f>Data!$N64</f>
        <v>9.0909090909090912E-2</v>
      </c>
      <c r="H44" s="60">
        <f>Data!$N78</f>
        <v>7.6923076923076927E-2</v>
      </c>
      <c r="I44" s="60">
        <f>Data!$N92</f>
        <v>5.8823529411764705E-2</v>
      </c>
      <c r="J44" s="60">
        <f>Data!$N106</f>
        <v>5.1724137931034482E-2</v>
      </c>
      <c r="K44" s="60">
        <f>Data!$N120</f>
        <v>3.5714285714285712E-2</v>
      </c>
      <c r="L44" s="60">
        <f>Data!$N134</f>
        <v>3.2967032967032968E-2</v>
      </c>
      <c r="M44" s="60">
        <f>Data!$N148</f>
        <v>2.8301886792452831E-2</v>
      </c>
      <c r="N44" s="60">
        <f>Data!$N162</f>
        <v>2.5423728813559324E-2</v>
      </c>
      <c r="O44" s="60">
        <f>Data!$N176</f>
        <v>2.1582733812949641E-2</v>
      </c>
      <c r="P44" s="60">
        <f>Data!$N190</f>
        <v>2.6490066225165563E-2</v>
      </c>
      <c r="Q44" s="60">
        <f>Data!$N204</f>
        <v>2.197802197802198E-2</v>
      </c>
      <c r="R44" s="60">
        <f>Data!$N218</f>
        <v>2.0942408376963352E-2</v>
      </c>
      <c r="S44" s="60">
        <f>Data!$N232</f>
        <v>1.9138755980861243E-2</v>
      </c>
      <c r="T44" s="60">
        <f>Data!$N246</f>
        <v>1.7937219730941704E-2</v>
      </c>
      <c r="U44" s="60">
        <f>Data!$N260</f>
        <v>1.7241379310344827E-2</v>
      </c>
      <c r="V44" s="60">
        <f>Data!$N274</f>
        <v>1.680672268907563E-2</v>
      </c>
      <c r="W44" s="60">
        <f>Data!$N288</f>
        <v>1.6528925619834711E-2</v>
      </c>
      <c r="X44" s="60">
        <f>Data!$N302</f>
        <v>1.5625E-2</v>
      </c>
      <c r="Y44" s="60">
        <f>Data!$N316</f>
        <v>1.509433962264151E-2</v>
      </c>
      <c r="Z44" s="60">
        <f>Data!$N330</f>
        <v>1.4598540145985401E-2</v>
      </c>
      <c r="AA44" s="60">
        <f>Data!$N344</f>
        <v>1.4084507042253521E-2</v>
      </c>
      <c r="AB44" s="60">
        <f>Data!$N358</f>
        <v>1.3698630136986301E-2</v>
      </c>
      <c r="AC44" s="60">
        <f>Data!$N372</f>
        <v>1.7064846416382253E-2</v>
      </c>
      <c r="AD44" s="60">
        <f>Data!$N386</f>
        <v>1.6891891891891893E-2</v>
      </c>
      <c r="AE44" s="60">
        <f>Data!$N400</f>
        <v>2.0202020202020204E-2</v>
      </c>
      <c r="AF44" s="60">
        <f>Data!$N414</f>
        <v>1.9933554817275746E-2</v>
      </c>
      <c r="AG44" s="60">
        <f>Data!$N428</f>
        <v>1.9801980198019802E-2</v>
      </c>
      <c r="AH44" s="60">
        <f>Data!$N442</f>
        <v>1.948051948051948E-2</v>
      </c>
      <c r="AI44" s="60">
        <f>Data!$N456</f>
        <v>1.9169329073482427E-2</v>
      </c>
      <c r="AJ44" s="60">
        <f>Data!$N470</f>
        <v>1.8987341772151899E-2</v>
      </c>
      <c r="AK44" s="60">
        <f>Data!$N484</f>
        <v>1.8867924528301886E-2</v>
      </c>
      <c r="AL44" s="60">
        <f>Data!$N498</f>
        <v>1.7910447761194031E-2</v>
      </c>
      <c r="AM44" s="60">
        <f>Data!$N512</f>
        <v>1.7595307917888565E-2</v>
      </c>
      <c r="AN44" s="60">
        <f>Data!$N526</f>
        <v>1.7341040462427744E-2</v>
      </c>
      <c r="AO44" s="60">
        <f>Data!$N540</f>
        <v>1.6260162601626018E-2</v>
      </c>
      <c r="AP44" s="60">
        <f>Data!$N554</f>
        <v>1.5789473684210527E-2</v>
      </c>
      <c r="AQ44" s="60">
        <f>Data!$N568</f>
        <v>1.5345268542199489E-2</v>
      </c>
      <c r="AR44" s="60">
        <f>Data!$N582</f>
        <v>1.4851485148514851E-2</v>
      </c>
      <c r="AS44" s="60">
        <f>Data!$N596</f>
        <v>1.4492753623188406E-2</v>
      </c>
      <c r="AT44" s="60">
        <f>Data!$N610</f>
        <v>1.366742596810934E-2</v>
      </c>
      <c r="AU44" s="60">
        <f>Data!$N624</f>
        <v>1.3015184381778741E-2</v>
      </c>
      <c r="AV44" s="60">
        <f>Data!$N638</f>
        <v>1.2605042016806723E-2</v>
      </c>
      <c r="AW44" s="60">
        <f>Data!$N652</f>
        <v>1.3972055888223553E-2</v>
      </c>
      <c r="AX44" s="60">
        <f>Data!$N666</f>
        <v>1.3565891472868217E-2</v>
      </c>
      <c r="AY44" s="60">
        <f>Data!$N680</f>
        <v>1.3257575757575758E-2</v>
      </c>
      <c r="AZ44" s="60">
        <f>Data!$N694</f>
        <v>1.2915129151291513E-2</v>
      </c>
      <c r="BA44" s="60">
        <f>Data!$N708</f>
        <v>1.2658227848101266E-2</v>
      </c>
      <c r="BB44" s="60">
        <f>Data!$N722</f>
        <v>1.4362657091561939E-2</v>
      </c>
      <c r="BC44" s="60">
        <f>Data!$N736</f>
        <v>1.7574692442882251E-2</v>
      </c>
      <c r="BD44" s="60">
        <f>Data!$N750</f>
        <v>1.7301038062283738E-2</v>
      </c>
      <c r="BE44" s="60">
        <f>Data!$N764</f>
        <v>1.7241379310344827E-2</v>
      </c>
      <c r="BF44" s="60">
        <f>Data!$N778</f>
        <v>1.6949152542372881E-2</v>
      </c>
      <c r="BG44" s="60">
        <f>Data!$N792</f>
        <v>1.8363939899833055E-2</v>
      </c>
      <c r="BH44" s="60">
        <f>Data!$N806</f>
        <v>1.794453507340946E-2</v>
      </c>
      <c r="BI44" s="60">
        <f>Data!$N820</f>
        <v>1.794453507340946E-2</v>
      </c>
      <c r="BJ44" s="60">
        <f>Data!$N834</f>
        <v>1.7770597738287562E-2</v>
      </c>
      <c r="BK44" s="60">
        <f>Data!$N848</f>
        <v>1.7684887459807074E-2</v>
      </c>
      <c r="BL44" s="60">
        <f>Data!$N862</f>
        <v>1.7684887459807074E-2</v>
      </c>
    </row>
    <row r="45" spans="2:64" x14ac:dyDescent="0.3">
      <c r="B45" t="str">
        <f t="shared" si="5"/>
        <v>Maritimes</v>
      </c>
      <c r="C45" s="60">
        <f>(Data!$F9+Data!$F10+Data!$F11)/(Data!$E9+Data!$E10+Data!$E11+Data!$F9+Data!$F10+Data!$F11)</f>
        <v>0</v>
      </c>
      <c r="D45" s="60">
        <f>(Data!$F23+Data!$F24+Data!$F25)/(Data!$E23+Data!$E24+Data!$E25+Data!$F23+Data!$F24+Data!$F25)</f>
        <v>0</v>
      </c>
      <c r="E45" s="60">
        <f>(Data!$F37+Data!$F38+Data!$F39)/(Data!$E37+Data!$E38+Data!$E39+Data!$F37+Data!$F38+Data!$F39)</f>
        <v>0</v>
      </c>
      <c r="F45" s="60">
        <f>(Data!$F51+Data!$F52+Data!$F53)/(Data!$E51+Data!$E52+Data!$E52+Data!$F51+Data!$F52+Data!$F53)</f>
        <v>0</v>
      </c>
      <c r="G45" s="60">
        <f>(Data!$F65+Data!$F66+Data!$F67)/(Data!$E65+Data!$E66+Data!$E67+Data!$F65+Data!$F66+Data!$F67)</f>
        <v>0</v>
      </c>
      <c r="H45" s="60">
        <f>(Data!$F79+Data!$F80+Data!$F81)/(Data!$E79+Data!$E80+Data!$E81+Data!$F79+Data!$F80+Data!$F81)</f>
        <v>0</v>
      </c>
      <c r="I45" s="60">
        <f>(Data!$F93+Data!$F94+Data!$F95)/(Data!$E93+Data!$E94+Data!$E95+Data!$F93+Data!$F94+Data!$F95)</f>
        <v>0</v>
      </c>
      <c r="J45" s="60">
        <f>(Data!$F107+Data!$F108+Data!$F109)/(Data!$E107+Data!$E108+Data!$E109+Data!$F107+Data!$F108+Data!$F109)</f>
        <v>0</v>
      </c>
      <c r="K45" s="60">
        <f>(Data!$F121+Data!$F122+Data!$F123)/(Data!$E121+Data!$E122+Data!$E123+Data!$F121+Data!$F122+Data!$F123)</f>
        <v>0</v>
      </c>
      <c r="L45" s="60">
        <f>(Data!$F135+Data!$F136+Data!$F137)/(Data!$E135+Data!$E136+Data!$E137+Data!$F135+Data!$F136+Data!$F137)</f>
        <v>8.771929824561403E-3</v>
      </c>
      <c r="M45" s="60">
        <f>(Data!$F149+Data!$F150+Data!$F151)/(Data!$E149+Data!$E150+Data!$E151+Data!$F149+Data!$F150+Data!$F151)</f>
        <v>6.8965517241379309E-3</v>
      </c>
      <c r="N45" s="60">
        <f>(Data!$F163+Data!$F164+Data!$F165)/(Data!$E163+Data!$E164+Data!$E165+Data!$F163+Data!$F164+Data!$F165)</f>
        <v>1.2987012987012988E-2</v>
      </c>
      <c r="O45" s="60">
        <f>(Data!$F177+Data!$F178+Data!$F179)/(Data!$E177+Data!$E178+Data!$E179+Data!$F177+Data!$F178+Data!$F179)</f>
        <v>1.1627906976744186E-2</v>
      </c>
      <c r="P45" s="60">
        <f>(Data!$F191+Data!$F192+Data!$F193)/(Data!$E191+Data!$E192+Data!$E193+Data!$F191+Data!$F192+Data!$F193)</f>
        <v>1.0869565217391304E-2</v>
      </c>
      <c r="Q45" s="60">
        <f>(Data!$F205+Data!$F206+Data!$F207)/(Data!$E205+Data!$E206+Data!$E207+Data!$F205+Data!$F206+Data!$F207)</f>
        <v>1.4925373134328358E-2</v>
      </c>
      <c r="R45" s="60">
        <f>(Data!$F219+Data!$F220+Data!$F221)/(Data!$E219+Data!$E220+Data!$E221+Data!$F219+Data!$F220+Data!$F221)</f>
        <v>1.3333333333333334E-2</v>
      </c>
      <c r="S45" s="60">
        <f>(Data!$F233+Data!$F234+Data!$F235)/(Data!$E233+Data!$E234+Data!$E235+Data!$F233+Data!$F234+Data!$F235)</f>
        <v>1.2500000000000001E-2</v>
      </c>
      <c r="T45" s="60">
        <f>(Data!$F247+Data!$F248+Data!$F249)/(Data!$E247+Data!$E248+Data!$E249+Data!$F247+Data!$F248+Data!$F249)</f>
        <v>1.0638297872340425E-2</v>
      </c>
      <c r="U45" s="60">
        <f>(Data!$F261+Data!$F262+Data!$F263)/(Data!$E261+Data!$E262+Data!$E263+Data!$F261+Data!$F262+Data!$F263)</f>
        <v>1.3937282229965157E-2</v>
      </c>
      <c r="V45" s="60">
        <f>(Data!$F275+Data!$F276+Data!$F277)/(Data!$E275+Data!$E276+Data!$E277+Data!$F275+Data!$F276+Data!$F277)</f>
        <v>2.3255813953488372E-2</v>
      </c>
      <c r="W45" s="60">
        <f>(Data!$F289+Data!$F290+Data!$F291)/(Data!$E289+Data!$E290+Data!$E291+Data!$F289+Data!$F290+Data!$F291)</f>
        <v>2.3809523809523808E-2</v>
      </c>
      <c r="X45" s="60">
        <f>(Data!$F303+Data!$F304+Data!$F305)/(Data!$E303+Data!$E304+Data!$E305+Data!$F303+Data!$F304+Data!$F305)</f>
        <v>2.3752969121140142E-2</v>
      </c>
      <c r="Y45" s="60">
        <f>(Data!$F317+Data!$F318+Data!$F319)/(Data!$E317+Data!$E318+Data!$E319+Data!$F317+Data!$F318+Data!$F319)</f>
        <v>2.553191489361702E-2</v>
      </c>
      <c r="Z45" s="60">
        <f>(Data!$F331+Data!$F332+Data!$F333)/(Data!$E331+Data!$E332+Data!$E333+Data!$F331+Data!$F332+Data!$F333)</f>
        <v>3.1872509960159362E-2</v>
      </c>
      <c r="AA45" s="60">
        <f>(Data!$F345+Data!$F346+Data!$F347)/(Data!$E345+Data!$E346+Data!$E347+Data!$F345+Data!$F346+Data!$F347)</f>
        <v>2.9684601113172542E-2</v>
      </c>
      <c r="AB45" s="60">
        <f>(Data!$F359+Data!$F360+Data!$F361)/(Data!$E359+Data!$E360+Data!$E361+Data!$F359+Data!$F360+Data!$F361)</f>
        <v>3.8938053097345132E-2</v>
      </c>
      <c r="AC45" s="60">
        <f>(Data!$F373+Data!$F374+Data!$F375)/(Data!$E373+Data!$E374+Data!$E375+Data!$F373+Data!$F374+Data!$F375)</f>
        <v>3.5874439461883408E-2</v>
      </c>
      <c r="AD45" s="60">
        <f>(Data!$F387+Data!$F388+Data!$F389)/(Data!$E387+Data!$E388+Data!$E389+Data!$F387+Data!$F388+Data!$F389)</f>
        <v>3.9416058394160583E-2</v>
      </c>
      <c r="AE45" s="60">
        <f>(Data!$F401+Data!$F402+Data!$F403)/(Data!$E401+Data!$E402+Data!$E403+Data!$F401+Data!$F402+Data!$F403)</f>
        <v>4.0287769784172658E-2</v>
      </c>
      <c r="AF45" s="60">
        <f>(Data!$F415+Data!$F416+Data!$F417)/(Data!$E415+Data!$E416+Data!$E417+Data!$F415+Data!$F416+Data!$F417)</f>
        <v>3.9381153305203941E-2</v>
      </c>
      <c r="AG45" s="60">
        <f>(Data!$F429+Data!$F430+Data!$F431)/(Data!$E429+Data!$E430+Data!$E431+Data!$F429+Data!$F430+Data!$F431)</f>
        <v>3.8107752956636008E-2</v>
      </c>
      <c r="AH45" s="60">
        <f>(Data!$F443+Data!$F444+Data!$F445)/(Data!$E443+Data!$E444+Data!$E445+Data!$F443+Data!$F444+Data!$F445)</f>
        <v>3.9641943734015347E-2</v>
      </c>
      <c r="AI45" s="60">
        <f>(Data!$F457+Data!$F458+Data!$F459)/(Data!$E457+Data!$E458+Data!$E459+Data!$F457+Data!$F458+Data!$F459)</f>
        <v>4.63980463980464E-2</v>
      </c>
      <c r="AJ45" s="60">
        <f>(Data!$F471+Data!$F472+Data!$F473)/(Data!$E471+Data!$E472+Data!$E473+Data!$F471+Data!$F472+Data!$F473)</f>
        <v>4.9043062200956937E-2</v>
      </c>
      <c r="AK45" s="60">
        <f>(Data!$F485+Data!$F486+Data!$F487)/(Data!$E485+Data!$E486+Data!$E487+Data!$F485+Data!$F486+Data!$F486)</f>
        <v>4.8463356973995272E-2</v>
      </c>
      <c r="AL45" s="60">
        <f>(Data!$F499+Data!$F500+Data!$F501)/(Data!$E499+Data!$E500+Data!$E501+Data!$F499+Data!$F500+Data!$F501)</f>
        <v>4.9107142857142856E-2</v>
      </c>
      <c r="AM45" s="60">
        <f>(Data!$F513+Data!$F514+Data!$F515)/(Data!$E513+Data!$E514+Data!$E515+Data!$F513+Data!$F514+Data!$F515)</f>
        <v>5.0383351588170866E-2</v>
      </c>
      <c r="AN45" s="60">
        <f>(Data!$F527+Data!$F528+Data!$F529)/(Data!$E527+Data!$E528+Data!$E529+Data!$F527+Data!$F528+Data!$F529)</f>
        <v>5.0267379679144387E-2</v>
      </c>
      <c r="AO45" s="60">
        <f>(Data!$F541+Data!$F542+Data!$F543)/(Data!$E541+Data!$E542+Data!$E543+Data!$F541+Data!$F542+Data!$F543)</f>
        <v>0.05</v>
      </c>
      <c r="AP45" s="60">
        <f>(Data!$F555+Data!$F556+Data!$F557)/(Data!$E555+Data!$E556+Data!$E557+Data!$F555+Data!$F556+Data!$F557)</f>
        <v>4.5411542100283822E-2</v>
      </c>
      <c r="AQ45" s="60">
        <f>(Data!$F569+Data!$F570+Data!$F571)/(Data!$E569+Data!$E570+Data!$E571+Data!$F569+Data!$F570+Data!$F571)</f>
        <v>4.7842401500938089E-2</v>
      </c>
      <c r="AR45" s="60">
        <f>(Data!$F583+Data!$F584+Data!$F585)/(Data!$E583+Data!$E584+Data!$E585+Data!$F583+Data!$F584+Data!$F585)</f>
        <v>4.6153846153846156E-2</v>
      </c>
      <c r="AS45" s="60">
        <f>(Data!$F597+Data!$F598+Data!$F599)/(Data!$E597+Data!$E598+Data!$E599+Data!$F597+Data!$F598+Data!$F599)</f>
        <v>4.9151027703306524E-2</v>
      </c>
      <c r="AT45" s="60">
        <f>(Data!$F611+Data!$F612+Data!$F613)/(Data!$E611+Data!$E612+Data!$E613+Data!$F611+Data!$F612+Data!$F613)</f>
        <v>4.8586572438162542E-2</v>
      </c>
      <c r="AU45" s="60">
        <f>(Data!$F625+Data!$F626+Data!$F627)/(Data!$E625+Data!$E626+Data!$E627+Data!$F625+Data!$F626+Data!$F627)</f>
        <v>4.7909407665505228E-2</v>
      </c>
      <c r="AV45" s="60">
        <f>(Data!$F639+Data!$F640+Data!$F641)/(Data!$E639+Data!$E640+Data!$E641+Data!$F639+Data!$F640+Data!$F641)</f>
        <v>4.8317515099223468E-2</v>
      </c>
      <c r="AW45" s="60">
        <f>(Data!$F653+Data!$F654+Data!$F655)/(Data!$E653+Data!$E654+Data!$E655+Data!$F653+Data!$F654+Data!$F655)</f>
        <v>4.913793103448276E-2</v>
      </c>
      <c r="AX45" s="60">
        <f>(Data!$F667+Data!$F668+Data!$F669)/(Data!$E667+Data!$E668+Data!$E669+Data!$F667+Data!$F668+Data!$F669)</f>
        <v>4.9828178694158079E-2</v>
      </c>
      <c r="AY45" s="60">
        <f>(Data!$F681+Data!$F682+Data!$F683)/(Data!$E681+Data!$E682+Data!$E683+Data!$F681+Data!$F682+Data!$F683)</f>
        <v>4.974271012006861E-2</v>
      </c>
      <c r="AZ45" s="60">
        <f>(Data!$F695+Data!$F696+Data!$F697)/(Data!$E695+Data!$E696+Data!$E697+Data!$F695+Data!$F696+Data!$F697)</f>
        <v>4.9403747870528106E-2</v>
      </c>
      <c r="BA45" s="60">
        <f>(Data!$F709+Data!$F710+Data!$F711)/(Data!$E709+Data!$E710+Data!$E711+Data!$F709+Data!$F710+Data!$F711)</f>
        <v>4.9194232400339273E-2</v>
      </c>
      <c r="BB45" s="60">
        <f>(Data!$F723+Data!$F724+Data!$F725)/(Data!$E723+Data!$E724+Data!$E725+Data!$F723+Data!$F724+Data!$F725)</f>
        <v>4.9915397631133673E-2</v>
      </c>
      <c r="BC45" s="60">
        <f>(Data!$F737+Data!$F738+Data!$F739)/(Data!$E737+Data!$E738+Data!$E739+Data!$F737+Data!$F738+Data!$F739)</f>
        <v>4.9957662997459781E-2</v>
      </c>
      <c r="BD45" s="60">
        <f>(Data!$F751+Data!$F752+Data!$F753)/(Data!$E751+Data!$E752+Data!$E753+Data!$F751+Data!$F752+Data!$F753)</f>
        <v>4.9873203719357564E-2</v>
      </c>
      <c r="BE45" s="60">
        <f>(Data!$F765+Data!$F766+Data!$F767)/(Data!$E765+Data!$E766+Data!$E767+Data!$F765+Data!$F766+Data!$F767)</f>
        <v>4.9831081081081079E-2</v>
      </c>
      <c r="BF45" s="60">
        <f>(Data!$F779+Data!$F780+Data!$F781)/(Data!$E779+Data!$E780+Data!$E781+Data!$F779+Data!$F780+Data!$F781)</f>
        <v>5.0632911392405063E-2</v>
      </c>
      <c r="BG45" s="60">
        <f>(Data!$F793+Data!$F794+Data!$F795)/(Data!$E793+Data!$E794+Data!$E795+Data!$F793+Data!$F794+Data!$F795)</f>
        <v>5.0377833753148617E-2</v>
      </c>
      <c r="BH45" s="60">
        <f>(Data!$F807+Data!$F808+Data!$F809)/(Data!$E807+Data!$E808+Data!$E809+Data!$F807+Data!$F808+Data!$F809)</f>
        <v>5.0041701417848208E-2</v>
      </c>
      <c r="BI45" s="60">
        <f>(Data!$F821+Data!$F822+Data!$F823)/(Data!$E821+Data!$E822+Data!$E823+Data!$F821+Data!$F822+Data!$F823)</f>
        <v>0.05</v>
      </c>
      <c r="BJ45" s="60">
        <f>(Data!$F835+Data!$F836+Data!$F837)/(Data!$E835+Data!$E836+Data!$E837+Data!$F835+Data!$F836+Data!$F837)</f>
        <v>5.1495016611295678E-2</v>
      </c>
      <c r="BK45" s="60">
        <f>(Data!$F849+Data!$F850+Data!$F851)/(Data!$E849+Data!$E850+Data!$E851+Data!$F849+Data!$F850+Data!$F851)</f>
        <v>5.140961857379768E-2</v>
      </c>
      <c r="BL45" s="60">
        <f>(Data!$F863+Data!$F864+Data!$F865)/(Data!$E863+Data!$E864+Data!$E865+Data!$F863+Data!$F864+Data!$F865)</f>
        <v>5.1324503311258277E-2</v>
      </c>
    </row>
    <row r="46" spans="2:64" x14ac:dyDescent="0.3">
      <c r="B46" t="str">
        <f t="shared" si="5"/>
        <v>NFLD</v>
      </c>
      <c r="C46" s="60">
        <f>Data!N12</f>
        <v>0</v>
      </c>
      <c r="D46" s="60">
        <f>Data!N26</f>
        <v>0</v>
      </c>
      <c r="E46" s="60">
        <f>Data!N40</f>
        <v>0.2</v>
      </c>
      <c r="F46" s="60">
        <f>Data!N54</f>
        <v>0.125</v>
      </c>
      <c r="G46" s="60">
        <f>Data!$N68</f>
        <v>0.125</v>
      </c>
      <c r="H46" s="60">
        <f>Data!$N82</f>
        <v>9.0909090909090912E-2</v>
      </c>
      <c r="I46" s="60">
        <f>Data!$N96</f>
        <v>0.1111111111111111</v>
      </c>
      <c r="J46" s="60">
        <f>Data!$N110</f>
        <v>5.2631578947368418E-2</v>
      </c>
      <c r="K46" s="60">
        <f>Data!$N124</f>
        <v>5.8823529411764705E-2</v>
      </c>
      <c r="L46" s="60">
        <f>Data!$N138</f>
        <v>3.9215686274509803E-2</v>
      </c>
      <c r="M46" s="60">
        <f>Data!$N152</f>
        <v>2.6315789473684209E-2</v>
      </c>
      <c r="N46" s="60">
        <f>Data!$N166</f>
        <v>2.0408163265306121E-2</v>
      </c>
      <c r="O46" s="60">
        <f>Data!$N180</f>
        <v>1.9047619047619049E-2</v>
      </c>
      <c r="P46" s="60">
        <f>Data!$N194</f>
        <v>1.6393442622950821E-2</v>
      </c>
      <c r="Q46" s="60">
        <f>Data!$N208</f>
        <v>1.6393442622950821E-2</v>
      </c>
      <c r="R46" s="60">
        <f>Data!$N222</f>
        <v>1.9736842105263157E-2</v>
      </c>
      <c r="S46" s="60">
        <f>Data!$N236</f>
        <v>1.8518518518518517E-2</v>
      </c>
      <c r="T46" s="60">
        <f>Data!$N250</f>
        <v>1.7341040462427744E-2</v>
      </c>
      <c r="U46" s="60">
        <f>Data!$N264</f>
        <v>1.6759776536312849E-2</v>
      </c>
      <c r="V46" s="60">
        <f>Data!$N278</f>
        <v>1.5625E-2</v>
      </c>
      <c r="W46" s="60">
        <f>Data!$N292</f>
        <v>1.5463917525773196E-2</v>
      </c>
      <c r="X46" s="60">
        <f>Data!$N306</f>
        <v>1.5228426395939087E-2</v>
      </c>
      <c r="Y46" s="60">
        <f>Data!$N320</f>
        <v>1.4851485148514851E-2</v>
      </c>
      <c r="Z46" s="60">
        <f>Data!$N334</f>
        <v>1.4423076923076924E-2</v>
      </c>
      <c r="AA46" s="60">
        <f>Data!$N348</f>
        <v>1.4285714285714285E-2</v>
      </c>
      <c r="AB46" s="60">
        <f>Data!$N362</f>
        <v>1.4218009478672985E-2</v>
      </c>
      <c r="AC46" s="60">
        <f>Data!$N376</f>
        <v>1.3392857142857142E-2</v>
      </c>
      <c r="AD46" s="60">
        <f>Data!$N390</f>
        <v>1.3333333333333334E-2</v>
      </c>
      <c r="AE46" s="60">
        <f>Data!$N404</f>
        <v>1.3333333333333334E-2</v>
      </c>
      <c r="AF46" s="60">
        <f>Data!$N418</f>
        <v>1.3157894736842105E-2</v>
      </c>
      <c r="AG46" s="60">
        <f>Data!$N432</f>
        <v>1.2875536480686695E-2</v>
      </c>
      <c r="AH46" s="60">
        <f>Data!$N446</f>
        <v>1.282051282051282E-2</v>
      </c>
      <c r="AI46" s="60">
        <f>Data!$N460</f>
        <v>1.2711864406779662E-2</v>
      </c>
      <c r="AJ46" s="60">
        <f>Data!$N474</f>
        <v>1.2295081967213115E-2</v>
      </c>
      <c r="AK46" s="60">
        <f>Data!$N488</f>
        <v>1.2145748987854251E-2</v>
      </c>
      <c r="AL46" s="60">
        <f>Data!$N502</f>
        <v>1.2145748987854251E-2</v>
      </c>
      <c r="AM46" s="60">
        <f>Data!$N516</f>
        <v>1.2145748987854251E-2</v>
      </c>
      <c r="AN46" s="60">
        <f>Data!$N530</f>
        <v>1.2145748987854251E-2</v>
      </c>
      <c r="AO46" s="60">
        <f>Data!$N544</f>
        <v>1.2145748987854251E-2</v>
      </c>
      <c r="AP46" s="60">
        <f>Data!$N558</f>
        <v>1.2145748987854251E-2</v>
      </c>
      <c r="AQ46" s="60">
        <f>Data!$N572</f>
        <v>1.2E-2</v>
      </c>
      <c r="AR46" s="60">
        <f>Data!$N586</f>
        <v>1.1952191235059761E-2</v>
      </c>
      <c r="AS46" s="60">
        <f>Data!$N600</f>
        <v>1.1952191235059761E-2</v>
      </c>
      <c r="AT46" s="60">
        <f>Data!$N614</f>
        <v>1.1904761904761904E-2</v>
      </c>
      <c r="AU46" s="60">
        <f>Data!$N628</f>
        <v>1.1904761904761904E-2</v>
      </c>
      <c r="AV46" s="60">
        <f>Data!$N642</f>
        <v>1.1857707509881422E-2</v>
      </c>
      <c r="AW46" s="60">
        <f>Data!$N614</f>
        <v>1.1904761904761904E-2</v>
      </c>
      <c r="AX46" s="60">
        <f>Data!$N670</f>
        <v>1.171875E-2</v>
      </c>
      <c r="AY46" s="60">
        <f>Data!$N684</f>
        <v>1.171875E-2</v>
      </c>
      <c r="AZ46" s="60">
        <f>Data!$N698</f>
        <v>1.1673151750972763E-2</v>
      </c>
      <c r="BA46" s="60">
        <f>Data!$N712</f>
        <v>1.1673151750972763E-2</v>
      </c>
      <c r="BB46" s="60">
        <f>Data!$N726</f>
        <v>1.1627906976744186E-2</v>
      </c>
      <c r="BC46" s="60">
        <f>Data!$N740</f>
        <v>1.1627906976744186E-2</v>
      </c>
      <c r="BD46" s="60">
        <f>Data!$N754</f>
        <v>1.1627906976744186E-2</v>
      </c>
      <c r="BE46" s="60">
        <f>Data!$N768</f>
        <v>1.1627906976744186E-2</v>
      </c>
      <c r="BF46" s="60">
        <f>Data!$N782</f>
        <v>1.1627906976744186E-2</v>
      </c>
      <c r="BG46" s="60">
        <f>Data!$N796</f>
        <v>1.1627906976744186E-2</v>
      </c>
      <c r="BH46" s="60">
        <f>Data!$N810</f>
        <v>1.1583011583011582E-2</v>
      </c>
      <c r="BI46" s="60">
        <f>Data!$N824</f>
        <v>1.1583011583011582E-2</v>
      </c>
      <c r="BJ46" s="60">
        <f>Data!$N838</f>
        <v>1.1583011583011582E-2</v>
      </c>
      <c r="BK46" s="60">
        <f>Data!$N852</f>
        <v>1.1583011583011582E-2</v>
      </c>
      <c r="BL46" s="60">
        <f>Data!$N866</f>
        <v>1.1583011583011582E-2</v>
      </c>
    </row>
    <row r="47" spans="2:64" x14ac:dyDescent="0.3">
      <c r="B47" t="str">
        <f t="shared" si="5"/>
        <v>Canada</v>
      </c>
      <c r="C47" s="60">
        <f>Data!N13</f>
        <v>0.13480392156862744</v>
      </c>
      <c r="D47" s="60">
        <f>Data!N27</f>
        <v>0.11033274956217162</v>
      </c>
      <c r="E47" s="60">
        <f>Data!N41</f>
        <v>7.7123050259965339E-2</v>
      </c>
      <c r="F47" s="60">
        <f>Data!N55</f>
        <v>7.520476545048399E-2</v>
      </c>
      <c r="G47" s="60">
        <f>Data!$N69</f>
        <v>6.7191283292978202E-2</v>
      </c>
      <c r="H47" s="60">
        <f>Data!$N83</f>
        <v>7.2100313479623826E-2</v>
      </c>
      <c r="I47" s="60">
        <f>Data!$N97</f>
        <v>7.4285714285714288E-2</v>
      </c>
      <c r="J47" s="60">
        <f>Data!$N111</f>
        <v>8.2157968970380815E-2</v>
      </c>
      <c r="K47" s="60">
        <f>Data!$N125</f>
        <v>8.3506224066390036E-2</v>
      </c>
      <c r="L47" s="60">
        <f>Data!$N139</f>
        <v>8.5985104942450916E-2</v>
      </c>
      <c r="M47" s="60">
        <f>Data!$N153</f>
        <v>8.5495283018867926E-2</v>
      </c>
      <c r="N47" s="60">
        <f>Data!$N167</f>
        <v>8.7457044673539514E-2</v>
      </c>
      <c r="O47" s="60">
        <f>Data!$N181</f>
        <v>8.6447888179884538E-2</v>
      </c>
      <c r="P47" s="60">
        <f>Data!$N195</f>
        <v>9.2218613190227366E-2</v>
      </c>
      <c r="Q47" s="60">
        <f>Data!$N209</f>
        <v>9.1377694470477971E-2</v>
      </c>
      <c r="R47" s="60">
        <f>Data!$N223</f>
        <v>9.8695032350038375E-2</v>
      </c>
      <c r="S47" s="60">
        <f>Data!$N237</f>
        <v>0.10111122234457903</v>
      </c>
      <c r="T47" s="60">
        <f>Data!$N251</f>
        <v>0.10947368421052632</v>
      </c>
      <c r="U47" s="60">
        <f>Data!$N265</f>
        <v>0.11052054332236565</v>
      </c>
      <c r="V47" s="60">
        <f>Data!$N279</f>
        <v>0.11595803423522916</v>
      </c>
      <c r="W47" s="60">
        <f>Data!$N293</f>
        <v>0.11838049873914262</v>
      </c>
      <c r="X47" s="60">
        <f>Data!$N307</f>
        <v>0.12208760484622554</v>
      </c>
      <c r="Y47" s="60">
        <f>Data!$N321</f>
        <v>0.12368421052631579</v>
      </c>
      <c r="Z47" s="60">
        <f>Data!$N335</f>
        <v>0.12698131062219067</v>
      </c>
      <c r="AA47" s="60">
        <f>Data!$N349</f>
        <v>0.12901417922995012</v>
      </c>
      <c r="AB47" s="60">
        <f>Data!$N363</f>
        <v>0.13049232398094229</v>
      </c>
      <c r="AC47" s="60">
        <f>Data!$N377</f>
        <v>0.12905840286054826</v>
      </c>
      <c r="AD47" s="60">
        <f>Data!$N391</f>
        <v>0.12942507922136715</v>
      </c>
      <c r="AE47" s="60">
        <f>Data!$N405</f>
        <v>0.12845688805042232</v>
      </c>
      <c r="AF47" s="60">
        <f>Data!$N419</f>
        <v>0.12939407485674809</v>
      </c>
      <c r="AG47" s="60">
        <f>Data!$N433</f>
        <v>0.12971463545252851</v>
      </c>
      <c r="AH47" s="60">
        <f>Data!$N447</f>
        <v>0.13030291957467022</v>
      </c>
      <c r="AI47" s="60">
        <f>Data!$N461</f>
        <v>0.12902145894010913</v>
      </c>
      <c r="AJ47" s="60">
        <f>Data!$N475</f>
        <v>0.13026807578296173</v>
      </c>
      <c r="AK47" s="60">
        <f>Data!$N489</f>
        <v>0.13060519087738789</v>
      </c>
      <c r="AL47" s="60">
        <f>Data!$N503</f>
        <v>0.13195110258868648</v>
      </c>
      <c r="AM47" s="60">
        <f>Data!$N517</f>
        <v>0.13063616869192279</v>
      </c>
      <c r="AN47" s="60">
        <f>Data!$N531</f>
        <v>0.13057147626731958</v>
      </c>
      <c r="AO47" s="60">
        <f>Data!$N545</f>
        <v>0.13143970305630873</v>
      </c>
      <c r="AP47" s="60">
        <f>Data!$N559</f>
        <v>0.13182525311774757</v>
      </c>
      <c r="AQ47" s="60">
        <f>Data!$N573</f>
        <v>0.13108595719440463</v>
      </c>
      <c r="AR47" s="60">
        <f>Data!$N587</f>
        <v>0.13165555903086881</v>
      </c>
      <c r="AS47" s="60">
        <f>Data!$N601</f>
        <v>0.1310031325811998</v>
      </c>
      <c r="AT47" s="60">
        <f>Data!$N615</f>
        <v>0.13055772679203642</v>
      </c>
      <c r="AU47" s="60">
        <f>Data!$N629</f>
        <v>0.12962059019303307</v>
      </c>
      <c r="AV47" s="60">
        <f>Data!$N643</f>
        <v>0.12862799704103389</v>
      </c>
      <c r="AW47" s="60">
        <f>Data!$N615</f>
        <v>0.13055772679203642</v>
      </c>
      <c r="AX47" s="60">
        <f>Data!$N671</f>
        <v>0.12852278187477803</v>
      </c>
      <c r="AY47" s="60">
        <f>Data!$N685</f>
        <v>0.12795839816558841</v>
      </c>
      <c r="AZ47" s="60">
        <f>Data!$N699</f>
        <v>0.12817046348796385</v>
      </c>
      <c r="BA47" s="60">
        <f>Data!$N713</f>
        <v>0.12787448957661723</v>
      </c>
      <c r="BB47" s="60">
        <f>Data!$N727</f>
        <v>0.12772711531801917</v>
      </c>
      <c r="BC47" s="60">
        <f>Data!$N741</f>
        <v>0.12781273026129344</v>
      </c>
      <c r="BD47" s="60">
        <f>Data!$N755</f>
        <v>0.12802278608261816</v>
      </c>
      <c r="BE47" s="60">
        <f>Data!$N769</f>
        <v>0.12806209516120154</v>
      </c>
      <c r="BF47" s="60">
        <f>Data!$N783</f>
        <v>0.12818979266347688</v>
      </c>
      <c r="BG47" s="60">
        <f>Data!$N797</f>
        <v>0.12840917058122414</v>
      </c>
      <c r="BH47" s="60">
        <f>Data!$N811</f>
        <v>0.12804751350602578</v>
      </c>
      <c r="BI47" s="60">
        <f>Data!$N825</f>
        <v>0.1280702353704779</v>
      </c>
      <c r="BJ47" s="60">
        <f>Data!$N839</f>
        <v>0.12862099164645649</v>
      </c>
      <c r="BK47" s="60">
        <f>Data!$N853</f>
        <v>0.12780607589056098</v>
      </c>
      <c r="BL47" s="60">
        <f>Data!$N867</f>
        <v>0.12662290061413653</v>
      </c>
    </row>
    <row r="48" spans="2:64" x14ac:dyDescent="0.3">
      <c r="B48" t="str">
        <f t="shared" si="5"/>
        <v>USA</v>
      </c>
      <c r="C48" s="60">
        <f>Data!N14</f>
        <v>0.37731196054254007</v>
      </c>
      <c r="D48" s="60">
        <f>Data!N28</f>
        <v>0.30979032003783696</v>
      </c>
      <c r="E48" s="60">
        <f>Data!N42</f>
        <v>0.34801657785671997</v>
      </c>
      <c r="F48" s="60">
        <f>Data!N56</f>
        <v>0.36700303713138044</v>
      </c>
      <c r="G48" s="60">
        <f>Data!$N70</f>
        <v>0.34801925212884116</v>
      </c>
      <c r="H48" s="60">
        <f>Data!$N84</f>
        <v>0.35816459223481328</v>
      </c>
      <c r="I48" s="60">
        <f>Data!$N98</f>
        <v>0.36741097108194321</v>
      </c>
      <c r="J48" s="60">
        <f>Data!$N112</f>
        <v>0.36110153421823821</v>
      </c>
      <c r="K48" s="60">
        <f>Data!$N126</f>
        <v>0.35694069856491195</v>
      </c>
      <c r="L48" s="60">
        <f>Data!$N140</f>
        <v>0.37235734055709324</v>
      </c>
      <c r="M48" s="60">
        <f>Data!$N154</f>
        <v>0.39584750605458652</v>
      </c>
      <c r="N48" s="60">
        <f>Data!$N168</f>
        <v>0.39668623046639134</v>
      </c>
      <c r="O48" s="60">
        <f>Data!$N182</f>
        <v>0.40677327899353238</v>
      </c>
      <c r="P48" s="60">
        <f>Data!$N196</f>
        <v>0.41952517481075058</v>
      </c>
      <c r="Q48" s="60">
        <f>Data!$N210</f>
        <v>0.40289295381273382</v>
      </c>
      <c r="R48" s="60">
        <f>Data!$N224</f>
        <v>0.40202358763919999</v>
      </c>
      <c r="S48" s="60">
        <f>Data!$N238</f>
        <v>0.40136830102622578</v>
      </c>
      <c r="T48" s="60">
        <f>Data!$N252</f>
        <v>0.36427841591718035</v>
      </c>
      <c r="U48" s="60">
        <f>Data!$N266</f>
        <v>0.38210252499399311</v>
      </c>
      <c r="V48" s="60">
        <f>Data!$N280</f>
        <v>0.38831298739430975</v>
      </c>
      <c r="W48" s="60">
        <f>Data!$N294</f>
        <v>0.3765533245352205</v>
      </c>
      <c r="X48" s="60">
        <f>Data!$N308</f>
        <v>0.35134880507489874</v>
      </c>
      <c r="Y48" s="60">
        <f>Data!$N322</f>
        <v>0.36112380082229328</v>
      </c>
      <c r="Z48" s="60">
        <f>Data!$N336</f>
        <v>0.36869699535118594</v>
      </c>
      <c r="AA48" s="60">
        <f>Data!$N350</f>
        <v>0.3614651144709034</v>
      </c>
      <c r="AB48" s="60">
        <f>Data!$N364</f>
        <v>0.33405164452215885</v>
      </c>
      <c r="AC48" s="60">
        <f>Data!$N378</f>
        <v>0.29064235143558942</v>
      </c>
      <c r="AD48" s="60">
        <f>Data!$N392</f>
        <v>0.29431313319784769</v>
      </c>
      <c r="AE48" s="60">
        <f>Data!$N406</f>
        <v>0.29573130587024693</v>
      </c>
      <c r="AF48" s="60">
        <f>Data!$N420</f>
        <v>0.29511763265459889</v>
      </c>
      <c r="AG48" s="60">
        <f>Data!$N434</f>
        <v>0.29119722724748787</v>
      </c>
      <c r="AH48" s="60">
        <f>Data!$N448</f>
        <v>0.28224799662589622</v>
      </c>
      <c r="AI48" s="60">
        <f>Data!$N462</f>
        <v>0.27606927399200931</v>
      </c>
      <c r="AJ48" s="60">
        <f>Data!$N476</f>
        <v>0.26404051689375413</v>
      </c>
      <c r="AK48" s="60">
        <f>Data!$N490</f>
        <v>0.26513664880969434</v>
      </c>
      <c r="AL48" s="60">
        <f>Data!$N504</f>
        <v>0.26300844653102379</v>
      </c>
      <c r="AM48" s="60">
        <f>Data!$N518</f>
        <v>0.26110695036978587</v>
      </c>
      <c r="AN48" s="60">
        <f>Data!$N532</f>
        <v>0.25575019137943739</v>
      </c>
      <c r="AO48" s="60">
        <f>Data!$N546</f>
        <v>0.23920206267913358</v>
      </c>
      <c r="AP48" s="60">
        <f>Data!$N560</f>
        <v>0.23134407285358033</v>
      </c>
      <c r="AQ48" s="60">
        <f>Data!$N574</f>
        <v>0.21671930340497897</v>
      </c>
      <c r="AR48" s="60">
        <f>Data!$N588</f>
        <v>0.21654930018827104</v>
      </c>
      <c r="AS48" s="60">
        <f>Data!$N602</f>
        <v>0.21682705106336828</v>
      </c>
      <c r="AT48" s="60">
        <f>Data!$N616</f>
        <v>0.20962980159316397</v>
      </c>
      <c r="AU48" s="60">
        <f>Data!$N630</f>
        <v>0.206618337002418</v>
      </c>
      <c r="AV48" s="60">
        <f>Data!$N644</f>
        <v>0.20492139949964527</v>
      </c>
      <c r="AW48" s="60">
        <f>Data!$N616</f>
        <v>0.20962980159316397</v>
      </c>
      <c r="AX48" s="60">
        <f>Data!$N672</f>
        <v>0.20432341970042953</v>
      </c>
      <c r="AY48" s="60">
        <f>Data!$N686</f>
        <v>0.20086296774193549</v>
      </c>
      <c r="AZ48" s="60">
        <f>Data!$N700</f>
        <v>0.18298513899888086</v>
      </c>
      <c r="BA48" s="60">
        <f>Data!$N714</f>
        <v>0.17899288222999518</v>
      </c>
      <c r="BB48" s="60">
        <f>Data!$N728</f>
        <v>0.17605538592280315</v>
      </c>
      <c r="BC48" s="60">
        <f>Data!$N742</f>
        <v>0.17393058918482648</v>
      </c>
      <c r="BD48" s="60">
        <f>Data!$N756</f>
        <v>0.17230510295074727</v>
      </c>
      <c r="BE48" s="60">
        <f>Data!$N770</f>
        <v>0.17171525624958775</v>
      </c>
      <c r="BF48" s="60">
        <f>Data!$N784</f>
        <v>0.16618237406549952</v>
      </c>
      <c r="BG48" s="60">
        <f>Data!$N798</f>
        <v>0.1492467063100166</v>
      </c>
      <c r="BH48" s="60">
        <f>Data!$N812</f>
        <v>0.14832863139062821</v>
      </c>
      <c r="BI48" s="60">
        <f>Data!$N826</f>
        <v>0.14347179776007091</v>
      </c>
      <c r="BJ48" s="60">
        <f>Data!$N840</f>
        <v>0.13671224362958359</v>
      </c>
      <c r="BK48" s="60">
        <f>Data!$N854</f>
        <v>0.1341238357326853</v>
      </c>
      <c r="BL48" s="60">
        <f>Data!$N868</f>
        <v>0.13039953218227185</v>
      </c>
    </row>
    <row r="50" spans="2:64" x14ac:dyDescent="0.3">
      <c r="B50" t="s">
        <v>36</v>
      </c>
      <c r="C50" s="29">
        <f t="shared" ref="C50:J50" si="6">C38</f>
        <v>43917</v>
      </c>
      <c r="D50" s="29">
        <f t="shared" si="6"/>
        <v>43918</v>
      </c>
      <c r="E50" s="29">
        <f t="shared" si="6"/>
        <v>43920</v>
      </c>
      <c r="F50" s="29">
        <f t="shared" si="6"/>
        <v>43921</v>
      </c>
      <c r="G50" s="29">
        <f t="shared" si="6"/>
        <v>43922</v>
      </c>
      <c r="H50" s="29">
        <f t="shared" si="6"/>
        <v>43923</v>
      </c>
      <c r="I50" s="29">
        <f t="shared" si="6"/>
        <v>43924</v>
      </c>
      <c r="J50" s="29">
        <f t="shared" si="6"/>
        <v>43925</v>
      </c>
      <c r="K50" s="29">
        <v>43927</v>
      </c>
      <c r="L50" s="29">
        <v>43928</v>
      </c>
      <c r="M50" s="29">
        <v>43929</v>
      </c>
      <c r="N50" s="29">
        <v>43930</v>
      </c>
      <c r="O50" s="29">
        <v>43931</v>
      </c>
      <c r="P50" s="29">
        <v>43932</v>
      </c>
      <c r="Q50" s="29">
        <v>43934</v>
      </c>
      <c r="R50" s="29">
        <v>43935</v>
      </c>
      <c r="S50" s="29">
        <v>43936</v>
      </c>
      <c r="T50" s="29">
        <v>43937</v>
      </c>
      <c r="U50" s="29">
        <v>43938</v>
      </c>
      <c r="V50" s="29">
        <v>43939</v>
      </c>
      <c r="W50" s="29">
        <v>43941</v>
      </c>
      <c r="X50" s="29">
        <v>43942</v>
      </c>
      <c r="Y50" s="29">
        <v>43943</v>
      </c>
      <c r="Z50" s="29">
        <v>43944</v>
      </c>
      <c r="AA50" s="29">
        <v>43945</v>
      </c>
      <c r="AB50" s="29">
        <v>43946</v>
      </c>
      <c r="AC50" s="29">
        <v>43948</v>
      </c>
      <c r="AD50" s="29">
        <v>43949</v>
      </c>
      <c r="AE50" s="29">
        <v>43950</v>
      </c>
      <c r="AF50" s="29">
        <v>43951</v>
      </c>
      <c r="AG50" s="29">
        <v>43952</v>
      </c>
      <c r="AH50" s="29">
        <v>43953</v>
      </c>
      <c r="AI50" s="29">
        <v>43955</v>
      </c>
      <c r="AJ50" s="29">
        <v>43956</v>
      </c>
      <c r="AK50" s="29">
        <v>43957</v>
      </c>
      <c r="AL50" s="29">
        <v>43958</v>
      </c>
      <c r="AM50" s="29">
        <v>43959</v>
      </c>
      <c r="AN50" s="29">
        <v>43960</v>
      </c>
      <c r="AO50" s="29">
        <v>43962</v>
      </c>
      <c r="AP50" s="29">
        <v>43963</v>
      </c>
      <c r="AQ50" s="29">
        <v>43964</v>
      </c>
      <c r="AR50" s="29">
        <v>43965</v>
      </c>
      <c r="AS50" s="29">
        <v>43966</v>
      </c>
      <c r="AT50" s="29">
        <v>43967</v>
      </c>
      <c r="AU50" s="29">
        <v>43969</v>
      </c>
      <c r="AV50" s="29">
        <v>43970</v>
      </c>
      <c r="AW50" s="29">
        <v>43971</v>
      </c>
      <c r="AX50" s="29">
        <v>43972</v>
      </c>
      <c r="AY50" s="29">
        <v>43973</v>
      </c>
      <c r="AZ50" s="29">
        <v>43974</v>
      </c>
      <c r="BA50" s="29">
        <v>43976</v>
      </c>
      <c r="BB50" s="29">
        <v>43977</v>
      </c>
      <c r="BC50" s="29">
        <v>43978</v>
      </c>
      <c r="BD50" s="29">
        <v>43979</v>
      </c>
      <c r="BE50" s="29">
        <v>43980</v>
      </c>
      <c r="BF50" s="29">
        <v>43981</v>
      </c>
      <c r="BG50" s="29">
        <v>43983</v>
      </c>
      <c r="BH50" s="29">
        <v>43984</v>
      </c>
      <c r="BI50" s="29">
        <v>43985</v>
      </c>
      <c r="BJ50" s="29">
        <v>43986</v>
      </c>
      <c r="BK50" s="29">
        <v>43987</v>
      </c>
      <c r="BL50" s="29">
        <v>43988</v>
      </c>
    </row>
    <row r="51" spans="2:64" x14ac:dyDescent="0.3">
      <c r="B51" t="str">
        <f t="shared" ref="B51:B60" si="7">B39</f>
        <v>Ontario</v>
      </c>
      <c r="C51" s="42">
        <f>Data!$Q3</f>
        <v>66.920415224913498</v>
      </c>
      <c r="D51" s="42">
        <f>Data!$Q17</f>
        <v>91.764705882352942</v>
      </c>
      <c r="E51" s="42">
        <f>Data!$Q31</f>
        <v>85.951557093425606</v>
      </c>
      <c r="F51" s="42">
        <f>Data!$Q45</f>
        <v>96.816608996539799</v>
      </c>
      <c r="G51" s="42">
        <f>Data!$Q59</f>
        <v>115.29411764705883</v>
      </c>
      <c r="H51" s="42">
        <f>Data!$Q73</f>
        <v>132.11072664359861</v>
      </c>
      <c r="I51" s="42">
        <f>Data!$Q87</f>
        <v>149.82698961937717</v>
      </c>
      <c r="J51" s="42">
        <f>Data!$Q101</f>
        <v>160.34602076124568</v>
      </c>
      <c r="K51" s="42">
        <f>Data!$Q115</f>
        <v>179.30795847750866</v>
      </c>
      <c r="L51" s="42">
        <f>Data!$Q129</f>
        <v>191.76470588235296</v>
      </c>
      <c r="M51" s="42">
        <f>Data!$Q143</f>
        <v>209.55017301038063</v>
      </c>
      <c r="N51" s="42">
        <f>Data!$Q157</f>
        <v>225.19031141868513</v>
      </c>
      <c r="O51" s="42">
        <f>Data!$Q171</f>
        <v>238.13148788927336</v>
      </c>
      <c r="P51" s="42">
        <f>Data!$Q185</f>
        <v>244.77508650519033</v>
      </c>
      <c r="Q51" s="42">
        <f>Data!$Q199</f>
        <v>264.49826989619379</v>
      </c>
      <c r="R51" s="42">
        <f>Data!$Q213</f>
        <v>280.34602076124571</v>
      </c>
      <c r="S51" s="42">
        <f>Data!$Q227</f>
        <v>289.96539792387546</v>
      </c>
      <c r="T51" s="42">
        <f>Data!$Q241</f>
        <v>300.62283737024222</v>
      </c>
      <c r="U51" s="42">
        <f>Data!$Q255</f>
        <v>310.79584775086505</v>
      </c>
      <c r="V51" s="42">
        <f>Data!$Q269</f>
        <v>316.8166089965398</v>
      </c>
      <c r="W51" s="42">
        <f>Data!$Q283</f>
        <v>351.90311418685121</v>
      </c>
      <c r="X51" s="42">
        <f>Data!$Q297</f>
        <v>367.26643598615919</v>
      </c>
      <c r="Y51" s="42">
        <f>Data!$Q311</f>
        <v>371.28027681660899</v>
      </c>
      <c r="Z51" s="42">
        <f>Data!$Q325</f>
        <v>379.65397923875435</v>
      </c>
      <c r="AA51" s="42">
        <f>Data!$Q339</f>
        <v>392.31833910034607</v>
      </c>
      <c r="AB51" s="42">
        <f>Data!$Q353</f>
        <v>392.73356401384086</v>
      </c>
      <c r="AC51" s="42">
        <f>Data!$Q367</f>
        <v>376.401384083045</v>
      </c>
      <c r="AD51" s="42">
        <f>Data!$Q381</f>
        <v>378.26989619377167</v>
      </c>
      <c r="AE51" s="42">
        <f>Data!$Q395</f>
        <v>354.32525951557096</v>
      </c>
      <c r="AF51" s="42">
        <f>Data!$Q409</f>
        <v>339.10034602076126</v>
      </c>
      <c r="AG51" s="42">
        <f>Data!$Q423</f>
        <v>322.62975778546712</v>
      </c>
      <c r="AH51" s="42">
        <f>Data!$Q437</f>
        <v>315.08650519031141</v>
      </c>
      <c r="AI51" s="42">
        <f>Data!$Q451</f>
        <v>284.98269896193773</v>
      </c>
      <c r="AJ51" s="42">
        <f>Data!$Q465</f>
        <v>288.58131487889273</v>
      </c>
      <c r="AK51" s="42">
        <f>Data!$Q479</f>
        <v>281.73010380622839</v>
      </c>
      <c r="AL51" s="42">
        <f>Data!$Q493</f>
        <v>282.00692041522495</v>
      </c>
      <c r="AM51" s="42">
        <f>Data!$Q507</f>
        <v>281.52249134948096</v>
      </c>
      <c r="AN51" s="42">
        <f>Data!$Q521</f>
        <v>274.18685121107268</v>
      </c>
      <c r="AO51" s="42">
        <f>Data!$Q535</f>
        <v>259.23875432525955</v>
      </c>
      <c r="AP51" s="42">
        <f>Data!$Q549</f>
        <v>262.35294117647061</v>
      </c>
      <c r="AQ51" s="42">
        <f>Data!$Q563</f>
        <v>250.93425605536333</v>
      </c>
      <c r="AR51" s="42">
        <f>Data!$Q577</f>
        <v>241.66089965397924</v>
      </c>
      <c r="AS51" s="42">
        <f>Data!$Q591</f>
        <v>239.16955017301038</v>
      </c>
      <c r="AT51" s="42">
        <f>Data!$Q605</f>
        <v>237.71626297577856</v>
      </c>
      <c r="AU51" s="42">
        <f>Data!$Q619</f>
        <v>236.33217993079586</v>
      </c>
      <c r="AV51" s="42">
        <f>Data!$Q633</f>
        <v>246.85121107266437</v>
      </c>
      <c r="AW51" s="42">
        <f>Data!$Q647</f>
        <v>250.65743944636679</v>
      </c>
      <c r="AX51" s="42">
        <f>Data!$Q661</f>
        <v>255.0173010380623</v>
      </c>
      <c r="AY51" s="42">
        <f>Data!$Q675</f>
        <v>265.74394463667824</v>
      </c>
      <c r="AZ51" s="42">
        <f>Data!$Q689</f>
        <v>266.15916955017303</v>
      </c>
      <c r="BA51" s="42">
        <f>Data!$Q703</f>
        <v>284.01384083044985</v>
      </c>
      <c r="BB51" s="42">
        <f>Data!$Q717</f>
        <v>284.42906574394465</v>
      </c>
      <c r="BC51" s="42">
        <f>Data!$Q731</f>
        <v>273.77162629757788</v>
      </c>
      <c r="BD51" s="42">
        <f>Data!$Q745</f>
        <v>277.09342560553637</v>
      </c>
      <c r="BE51" s="42">
        <f>Data!$Q759</f>
        <v>276.60899653979243</v>
      </c>
      <c r="BF51" s="42">
        <f>Data!$Q773</f>
        <v>272.17993079584778</v>
      </c>
      <c r="BG51" s="42">
        <f>Data!$Q787</f>
        <v>265.32871972318338</v>
      </c>
      <c r="BH51" s="42">
        <f>Data!$Q801</f>
        <v>272.11072664359864</v>
      </c>
      <c r="BI51" s="42">
        <f>Data!$Q815</f>
        <v>271.55709342560556</v>
      </c>
      <c r="BJ51" s="42">
        <f>Data!$Q829</f>
        <v>265.60553633217995</v>
      </c>
      <c r="BK51" s="42">
        <f>Data!$Q843</f>
        <v>262.42214532871975</v>
      </c>
      <c r="BL51" s="42">
        <f>Data!$Q857</f>
        <v>266.29757785467132</v>
      </c>
    </row>
    <row r="52" spans="2:64" x14ac:dyDescent="0.3">
      <c r="B52" t="str">
        <f t="shared" si="7"/>
        <v>Quebec</v>
      </c>
      <c r="C52" s="42">
        <f>Data!$Q4</f>
        <v>234.16370106761568</v>
      </c>
      <c r="D52" s="42">
        <f>Data!$Q18</f>
        <v>290.27283511269275</v>
      </c>
      <c r="E52" s="42">
        <f>Data!$Q32</f>
        <v>400.47449584816133</v>
      </c>
      <c r="F52" s="42">
        <f>Data!$Q46</f>
        <v>486.59549228944246</v>
      </c>
      <c r="G52" s="42">
        <f>Data!$Q60</f>
        <v>539.62040332147092</v>
      </c>
      <c r="H52" s="42">
        <f>Data!$Q74</f>
        <v>646.85646500593123</v>
      </c>
      <c r="I52" s="42">
        <f>Data!$Q88</f>
        <v>680.1897983392646</v>
      </c>
      <c r="J52" s="42">
        <f>Data!$Q102</f>
        <v>784.81613285883748</v>
      </c>
      <c r="K52" s="42">
        <f>Data!$Q116</f>
        <v>930.96085409252669</v>
      </c>
      <c r="L52" s="42">
        <f>Data!$Q130</f>
        <v>1004.7449584816134</v>
      </c>
      <c r="M52" s="42">
        <f>Data!$Q144</f>
        <v>1071.055753262159</v>
      </c>
      <c r="N52" s="42">
        <f>Data!$Q158</f>
        <v>1136.8920521945433</v>
      </c>
      <c r="O52" s="42">
        <f>Data!$Q172</f>
        <v>1197.5088967971531</v>
      </c>
      <c r="P52" s="42">
        <f>Data!$Q186</f>
        <v>1264.7686832740214</v>
      </c>
      <c r="Q52" s="42">
        <f>Data!$Q200</f>
        <v>1330.367734282325</v>
      </c>
      <c r="R52" s="42">
        <f>Data!$Q214</f>
        <v>1383.9857651245552</v>
      </c>
      <c r="S52" s="42">
        <f>Data!$Q228</f>
        <v>1409.4899169632265</v>
      </c>
      <c r="T52" s="42">
        <f>Data!$Q242</f>
        <v>1469.2763938315541</v>
      </c>
      <c r="U52" s="42">
        <f>Data!$Q256</f>
        <v>1546.026097271649</v>
      </c>
      <c r="V52" s="42">
        <f>Data!$Q270</f>
        <v>1589.6797153024911</v>
      </c>
      <c r="W52" s="42">
        <f>Data!$Q284</f>
        <v>1723.9620403321471</v>
      </c>
      <c r="X52" s="42">
        <f>Data!$Q298</f>
        <v>1783.7485172004745</v>
      </c>
      <c r="Y52" s="42">
        <f>Data!$Q312</f>
        <v>1843.4163701067616</v>
      </c>
      <c r="Z52" s="42">
        <f>Data!$Q326</f>
        <v>1911.1506524317913</v>
      </c>
      <c r="AA52" s="42">
        <f>Data!$Q340</f>
        <v>1963.4638196915778</v>
      </c>
      <c r="AB52" s="42">
        <f>Data!$Q354</f>
        <v>1988.6120996441282</v>
      </c>
      <c r="AC52" s="42">
        <f>Data!$Q368</f>
        <v>2119.3357058125744</v>
      </c>
      <c r="AD52" s="42">
        <f>Data!$Q382</f>
        <v>2162.9893238434165</v>
      </c>
      <c r="AE52" s="42">
        <f>Data!$Q396</f>
        <v>2228.3511269276396</v>
      </c>
      <c r="AF52" s="42">
        <f>Data!$Q410</f>
        <v>2298.9323843416369</v>
      </c>
      <c r="AG52" s="42">
        <f>Data!$Q424</f>
        <v>2363.7010676156583</v>
      </c>
      <c r="AH52" s="42">
        <f>Data!$Q438</f>
        <v>2438.3155397390274</v>
      </c>
      <c r="AI52" s="42">
        <f>Data!$Q452</f>
        <v>2700.4744958481615</v>
      </c>
      <c r="AJ52" s="42">
        <f>Data!$Q466</f>
        <v>2739.7390272835114</v>
      </c>
      <c r="AK52" s="42">
        <f>Data!$Q480</f>
        <v>2791.5776986951364</v>
      </c>
      <c r="AL52" s="42">
        <f>Data!$Q494</f>
        <v>2839.1459074733098</v>
      </c>
      <c r="AM52" s="42">
        <f>Data!$Q508</f>
        <v>2905.9311981020169</v>
      </c>
      <c r="AN52" s="42">
        <f>Data!$Q522</f>
        <v>2957.5326215895611</v>
      </c>
      <c r="AO52" s="42">
        <f>Data!$Q536</f>
        <v>3054.9228944246738</v>
      </c>
      <c r="AP52" s="42">
        <f>Data!$Q550</f>
        <v>3088.7307236061683</v>
      </c>
      <c r="AQ52" s="42">
        <f>Data!$Q564</f>
        <v>3112.8113879003558</v>
      </c>
      <c r="AR52" s="42">
        <f>Data!$Q578</f>
        <v>3159.0747330960853</v>
      </c>
      <c r="AS52" s="42">
        <f>Data!$Q592</f>
        <v>3200.4744958481615</v>
      </c>
      <c r="AT52" s="42">
        <f>Data!$Q606</f>
        <v>3231.5539739027286</v>
      </c>
      <c r="AU52" s="42">
        <f>Data!$Q620</f>
        <v>3319.8102016607354</v>
      </c>
      <c r="AV52" s="42">
        <f>Data!$Q634</f>
        <v>3327.758007117438</v>
      </c>
      <c r="AW52" s="42">
        <f>Data!$Q648</f>
        <v>3349.3475682087783</v>
      </c>
      <c r="AX52" s="42">
        <f>Data!$Q662</f>
        <v>3365.1245551601423</v>
      </c>
      <c r="AY52" s="42">
        <f>Data!$Q676</f>
        <v>3375.6820877817322</v>
      </c>
      <c r="AZ52" s="42">
        <f>Data!$Q690</f>
        <v>3422.7758007117441</v>
      </c>
      <c r="BA52" s="42">
        <f>Data!$Q704</f>
        <v>3471.0557532621592</v>
      </c>
      <c r="BB52" s="42">
        <f>Data!$Q718</f>
        <v>3494.6619217081852</v>
      </c>
      <c r="BC52" s="42">
        <f>Data!$Q732</f>
        <v>3510.3202846975091</v>
      </c>
      <c r="BD52" s="42">
        <f>Data!$Q746</f>
        <v>3532.858837485172</v>
      </c>
      <c r="BE52" s="42">
        <f>Data!$Q760</f>
        <v>3554.0925266903914</v>
      </c>
      <c r="BF52" s="42">
        <f>Data!$Q774</f>
        <v>3575.5634638196916</v>
      </c>
      <c r="BG52" s="42">
        <f>Data!$Q788</f>
        <v>3570.1067615658362</v>
      </c>
      <c r="BH52" s="42">
        <f>Data!$Q802</f>
        <v>3567.8529062870703</v>
      </c>
      <c r="BI52" s="42">
        <f>Data!$Q816</f>
        <v>3557.7698695136419</v>
      </c>
      <c r="BJ52" s="42">
        <f>Data!$Q830</f>
        <v>3549.4661921708184</v>
      </c>
      <c r="BK52" s="42">
        <f>Data!$Q844</f>
        <v>3523.0130486358244</v>
      </c>
      <c r="BL52" s="42">
        <f>Data!$Q858</f>
        <v>3468.8018979833928</v>
      </c>
    </row>
    <row r="53" spans="2:64" x14ac:dyDescent="0.3">
      <c r="B53" t="str">
        <f t="shared" si="7"/>
        <v>BC</v>
      </c>
      <c r="C53" s="42">
        <f>Data!$Q5</f>
        <v>99.800796812749013</v>
      </c>
      <c r="D53" s="42">
        <f>Data!$Q19</f>
        <v>93.824701195219134</v>
      </c>
      <c r="E53" s="42">
        <f>Data!$Q33</f>
        <v>96.01593625498009</v>
      </c>
      <c r="F53" s="42">
        <f>Data!$Q47</f>
        <v>96.01593625498009</v>
      </c>
      <c r="G53" s="42">
        <f>Data!$Q61</f>
        <v>86.653386454183277</v>
      </c>
      <c r="H53" s="42">
        <f>Data!$Q75</f>
        <v>89.442231075697222</v>
      </c>
      <c r="I53" s="42">
        <f>Data!$Q89</f>
        <v>99.203187250996024</v>
      </c>
      <c r="J53" s="42">
        <f>Data!$Q103</f>
        <v>91.832669322709165</v>
      </c>
      <c r="K53" s="42">
        <f>Data!$Q117</f>
        <v>88.446215139442245</v>
      </c>
      <c r="L53" s="42">
        <f>Data!$Q131</f>
        <v>88.247011952191244</v>
      </c>
      <c r="M53" s="42">
        <f>Data!$Q145</f>
        <v>89.641434262948209</v>
      </c>
      <c r="N53" s="42">
        <f>Data!$Q159</f>
        <v>93.227091633466145</v>
      </c>
      <c r="O53" s="42">
        <f>Data!$Q173</f>
        <v>94.820717131474112</v>
      </c>
      <c r="P53" s="42">
        <f>Data!$Q187</f>
        <v>96.01593625498009</v>
      </c>
      <c r="Q53" s="42">
        <f>Data!$Q201</f>
        <v>98.605577689243034</v>
      </c>
      <c r="R53" s="42">
        <f>Data!$Q215</f>
        <v>100.199203187251</v>
      </c>
      <c r="S53" s="42">
        <f>Data!$Q229</f>
        <v>97.808764940239058</v>
      </c>
      <c r="T53" s="42">
        <f>Data!$Q243</f>
        <v>102.39043824701196</v>
      </c>
      <c r="U53" s="42">
        <f>Data!$Q257</f>
        <v>114.34262948207173</v>
      </c>
      <c r="V53" s="42">
        <f>Data!$Q271</f>
        <v>115.33864541832671</v>
      </c>
      <c r="W53" s="42">
        <f>Data!$Q285</f>
        <v>114.34262948207173</v>
      </c>
      <c r="X53" s="42">
        <f>Data!$Q299</f>
        <v>118.72509960159364</v>
      </c>
      <c r="Y53" s="42">
        <f>Data!$Q313</f>
        <v>124.70119521912352</v>
      </c>
      <c r="Z53" s="42">
        <f>Data!$Q327</f>
        <v>127.09163346613546</v>
      </c>
      <c r="AA53" s="42">
        <f>Data!$Q341</f>
        <v>127.68924302788845</v>
      </c>
      <c r="AB53" s="42">
        <f>Data!$Q355</f>
        <v>141.63346613545818</v>
      </c>
      <c r="AC53" s="42">
        <f>Data!$Q369</f>
        <v>140.4382470119522</v>
      </c>
      <c r="AD53" s="42">
        <f>Data!$Q383</f>
        <v>142.82868525896416</v>
      </c>
      <c r="AE53" s="42">
        <f>Data!$Q397</f>
        <v>134.06374501992033</v>
      </c>
      <c r="AF53" s="42">
        <f>Data!$Q411</f>
        <v>134.66135458167332</v>
      </c>
      <c r="AG53" s="42">
        <f>Data!$Q425</f>
        <v>135.25896414342631</v>
      </c>
      <c r="AH53" s="42">
        <f>Data!$Q439</f>
        <v>134.66135458167332</v>
      </c>
      <c r="AI53" s="42">
        <f>Data!$Q453</f>
        <v>137.45019920318725</v>
      </c>
      <c r="AJ53" s="42">
        <f>Data!$Q467</f>
        <v>127.29083665338646</v>
      </c>
      <c r="AK53" s="42">
        <f>Data!$Q481</f>
        <v>126.89243027888448</v>
      </c>
      <c r="AL53" s="42">
        <f>Data!$Q495</f>
        <v>129.48207171314743</v>
      </c>
      <c r="AM53" s="42">
        <f>Data!$Q509</f>
        <v>121.31474103585658</v>
      </c>
      <c r="AN53" s="42">
        <f>Data!$Q523</f>
        <v>107.96812749003985</v>
      </c>
      <c r="AO53" s="42">
        <f>Data!$Q537</f>
        <v>100.398406374502</v>
      </c>
      <c r="AP53" s="42">
        <f>Data!$Q551</f>
        <v>79.083665338645432</v>
      </c>
      <c r="AQ53" s="42">
        <f>Data!$Q565</f>
        <v>76.693227091633474</v>
      </c>
      <c r="AR53" s="42">
        <f>Data!$Q579</f>
        <v>74.10358565737053</v>
      </c>
      <c r="AS53" s="42">
        <f>Data!$Q593</f>
        <v>71.513944223107572</v>
      </c>
      <c r="AT53" s="42">
        <f>Data!$Q607</f>
        <v>70.717131474103596</v>
      </c>
      <c r="AU53" s="42">
        <f>Data!$Q621</f>
        <v>66.733067729083672</v>
      </c>
      <c r="AV53" s="42">
        <f>Data!$Q635</f>
        <v>64.741035856573717</v>
      </c>
      <c r="AW53" s="42">
        <f>Data!$Q649</f>
        <v>68.326693227091639</v>
      </c>
      <c r="AX53" s="42">
        <f>Data!$Q663</f>
        <v>61.155378486055781</v>
      </c>
      <c r="AY53" s="42">
        <f>Data!$Q677</f>
        <v>61.75298804780877</v>
      </c>
      <c r="AZ53" s="42">
        <f>Data!$Q691</f>
        <v>60.358565737051798</v>
      </c>
      <c r="BA53" s="42">
        <f>Data!$Q705</f>
        <v>52.988047808764946</v>
      </c>
      <c r="BB53" s="42">
        <f>Data!$Q719</f>
        <v>51.39442231075698</v>
      </c>
      <c r="BC53" s="42">
        <f>Data!$Q733</f>
        <v>48.605577689243034</v>
      </c>
      <c r="BD53" s="42">
        <f>Data!$Q747</f>
        <v>48.007968127490045</v>
      </c>
      <c r="BE53" s="42">
        <f>Data!$Q761</f>
        <v>45.418326693227094</v>
      </c>
      <c r="BF53" s="42">
        <f>Data!$Q775</f>
        <v>45.418326693227094</v>
      </c>
      <c r="BG53" s="42">
        <f>Data!$Q789</f>
        <v>44.820717131474105</v>
      </c>
      <c r="BH53" s="42">
        <f>Data!$Q803</f>
        <v>41.235059760956176</v>
      </c>
      <c r="BI53" s="42">
        <f>Data!$Q817</f>
        <v>42.629482071713149</v>
      </c>
      <c r="BJ53" s="42">
        <f>Data!$Q831</f>
        <v>40.039840637450204</v>
      </c>
      <c r="BK53" s="42">
        <f>Data!$Q845</f>
        <v>38.446215139442238</v>
      </c>
      <c r="BL53" s="42">
        <f>Data!$Q859</f>
        <v>38.446215139442238</v>
      </c>
    </row>
    <row r="54" spans="2:64" x14ac:dyDescent="0.3">
      <c r="B54" t="str">
        <f t="shared" si="7"/>
        <v>Alberta</v>
      </c>
      <c r="C54" s="42">
        <f>Data!$Q6</f>
        <v>116.82027649769586</v>
      </c>
      <c r="D54" s="42">
        <f>Data!$Q20</f>
        <v>130.41474654377882</v>
      </c>
      <c r="E54" s="42">
        <f>Data!$Q34</f>
        <v>135.48387096774195</v>
      </c>
      <c r="F54" s="42">
        <f>Data!$Q48</f>
        <v>144.00921658986175</v>
      </c>
      <c r="G54" s="42">
        <f>Data!$Q62</f>
        <v>165.4377880184332</v>
      </c>
      <c r="H54" s="42">
        <f>Data!$Q76</f>
        <v>179.95391705069125</v>
      </c>
      <c r="I54" s="42">
        <f>Data!$Q90</f>
        <v>195.62211981566821</v>
      </c>
      <c r="J54" s="42">
        <f>Data!$Q104</f>
        <v>222.35023041474656</v>
      </c>
      <c r="K54" s="42">
        <f>Data!$Q118</f>
        <v>214.74654377880185</v>
      </c>
      <c r="L54" s="42">
        <f>Data!$Q132</f>
        <v>207.37327188940094</v>
      </c>
      <c r="M54" s="42">
        <f>Data!$Q146</f>
        <v>201.61290322580646</v>
      </c>
      <c r="N54" s="42">
        <f>Data!$Q160</f>
        <v>190.55299539170508</v>
      </c>
      <c r="O54" s="42">
        <f>Data!$Q174</f>
        <v>172.35023041474656</v>
      </c>
      <c r="P54" s="42">
        <f>Data!$Q188</f>
        <v>174.19354838709677</v>
      </c>
      <c r="Q54" s="42">
        <f>Data!$Q202</f>
        <v>186.40552995391707</v>
      </c>
      <c r="R54" s="42">
        <f>Data!$Q216</f>
        <v>209.21658986175115</v>
      </c>
      <c r="S54" s="42">
        <f>Data!$Q230</f>
        <v>238.2488479262673</v>
      </c>
      <c r="T54" s="42">
        <f>Data!$Q244</f>
        <v>275.11520737327191</v>
      </c>
      <c r="U54" s="42">
        <f>Data!$Q258</f>
        <v>281.79723502304148</v>
      </c>
      <c r="V54" s="42">
        <f>Data!$Q272</f>
        <v>268.20276497695852</v>
      </c>
      <c r="W54" s="42">
        <f>Data!$Q286</f>
        <v>373.04147465437791</v>
      </c>
      <c r="X54" s="42">
        <f>Data!$Q300</f>
        <v>405.76036866359448</v>
      </c>
      <c r="Y54" s="42">
        <f>Data!$Q314</f>
        <v>466.58986175115211</v>
      </c>
      <c r="Z54" s="42">
        <f>Data!$Q328</f>
        <v>529.0322580645161</v>
      </c>
      <c r="AA54" s="42">
        <f>Data!$Q342</f>
        <v>587.09677419354841</v>
      </c>
      <c r="AB54" s="42">
        <f>Data!$Q356</f>
        <v>617.28110599078343</v>
      </c>
      <c r="AC54" s="42">
        <f>Data!$Q370</f>
        <v>681.33640552995394</v>
      </c>
      <c r="AD54" s="42">
        <f>Data!$Q384</f>
        <v>684.33179723502303</v>
      </c>
      <c r="AE54" s="42">
        <f>Data!$Q398</f>
        <v>720.04608294930881</v>
      </c>
      <c r="AF54" s="42">
        <f>Data!$Q412</f>
        <v>715.43778801843325</v>
      </c>
      <c r="AG54" s="42">
        <f>Data!$Q426</f>
        <v>719.35483870967744</v>
      </c>
      <c r="AH54" s="42">
        <f>Data!$Q440</f>
        <v>700.92165898617509</v>
      </c>
      <c r="AI54" s="42">
        <f>Data!$Q454</f>
        <v>649.07834101382491</v>
      </c>
      <c r="AJ54" s="42">
        <f>Data!$Q468</f>
        <v>591.70506912442397</v>
      </c>
      <c r="AK54" s="42">
        <f>Data!$Q482</f>
        <v>529.72350230414747</v>
      </c>
      <c r="AL54" s="42">
        <f>Data!$Q496</f>
        <v>482.48847926267285</v>
      </c>
      <c r="AM54" s="42">
        <f>Data!$Q510</f>
        <v>452.30414746543778</v>
      </c>
      <c r="AN54" s="42">
        <f>Data!$Q524</f>
        <v>423.27188940092168</v>
      </c>
      <c r="AO54" s="42">
        <f>Data!$Q538</f>
        <v>351.15207373271892</v>
      </c>
      <c r="AP54" s="42">
        <f>Data!$Q552</f>
        <v>313.59447004608296</v>
      </c>
      <c r="AQ54" s="42">
        <f>Data!$Q566</f>
        <v>279.03225806451616</v>
      </c>
      <c r="AR54" s="42">
        <f>Data!$Q580</f>
        <v>260.59907834101381</v>
      </c>
      <c r="AS54" s="42">
        <f>Data!$Q594</f>
        <v>247.23502304147468</v>
      </c>
      <c r="AT54" s="42">
        <f>Data!$Q608</f>
        <v>249.76958525345623</v>
      </c>
      <c r="AU54" s="42">
        <f>Data!$Q622</f>
        <v>238.70967741935485</v>
      </c>
      <c r="AV54" s="42">
        <f>Data!$Q636</f>
        <v>231.33640552995394</v>
      </c>
      <c r="AW54" s="42">
        <f>Data!$Q650</f>
        <v>223.50230414746545</v>
      </c>
      <c r="AX54" s="42">
        <f>Data!$Q664</f>
        <v>213.36405529953919</v>
      </c>
      <c r="AY54" s="42">
        <f>Data!$Q678</f>
        <v>199.30875576036868</v>
      </c>
      <c r="AZ54" s="42">
        <f>Data!$Q692</f>
        <v>187.55760368663596</v>
      </c>
      <c r="BA54" s="42">
        <f>Data!$Q706</f>
        <v>175.57603686635946</v>
      </c>
      <c r="BB54" s="42">
        <f>Data!$Q720</f>
        <v>164.51612903225808</v>
      </c>
      <c r="BC54" s="42">
        <f>Data!$Q734</f>
        <v>156.45161290322582</v>
      </c>
      <c r="BD54" s="42">
        <f>Data!$Q748</f>
        <v>150.23041474654377</v>
      </c>
      <c r="BE54" s="42">
        <f>Data!$Q762</f>
        <v>142.39631336405532</v>
      </c>
      <c r="BF54" s="42">
        <f>Data!$Q776</f>
        <v>139.17050691244239</v>
      </c>
      <c r="BG54" s="42">
        <f>Data!$Q790</f>
        <v>92.16589861751153</v>
      </c>
      <c r="BH54" s="42">
        <f>Data!$Q804</f>
        <v>86.866359447004612</v>
      </c>
      <c r="BI54" s="42">
        <f>Data!$Q818</f>
        <v>79.262672811059915</v>
      </c>
      <c r="BJ54" s="42">
        <f>Data!$Q832</f>
        <v>76.958525345622121</v>
      </c>
      <c r="BK54" s="42">
        <f>Data!$Q846</f>
        <v>75.576036866359445</v>
      </c>
      <c r="BL54" s="42">
        <f>Data!$Q860</f>
        <v>77.41935483870968</v>
      </c>
    </row>
    <row r="55" spans="2:64" x14ac:dyDescent="0.3">
      <c r="B55" t="str">
        <f t="shared" si="7"/>
        <v>Manitoba</v>
      </c>
      <c r="C55" s="42">
        <f>Data!$Q7</f>
        <v>27.941176470588232</v>
      </c>
      <c r="D55" s="42">
        <f>Data!$Q21</f>
        <v>46.323529411764703</v>
      </c>
      <c r="E55" s="42">
        <f>Data!$Q35</f>
        <v>68.382352941176464</v>
      </c>
      <c r="F55" s="42">
        <f>Data!$Q49</f>
        <v>72.058823529411754</v>
      </c>
      <c r="G55" s="42">
        <f>Data!$Q63</f>
        <v>89.705882352941174</v>
      </c>
      <c r="H55" s="42">
        <f>Data!$Q77</f>
        <v>113.97058823529412</v>
      </c>
      <c r="I55" s="42">
        <f>Data!$Q91</f>
        <v>126.4705882352941</v>
      </c>
      <c r="J55" s="42">
        <f>Data!$Q105</f>
        <v>133.08823529411762</v>
      </c>
      <c r="K55" s="42">
        <f>Data!$Q119</f>
        <v>136.02941176470588</v>
      </c>
      <c r="L55" s="42">
        <f>Data!$Q133</f>
        <v>141.91176470588235</v>
      </c>
      <c r="M55" s="42">
        <f>Data!$Q147</f>
        <v>109.55882352941175</v>
      </c>
      <c r="N55" s="42">
        <f>Data!$Q161</f>
        <v>106.61764705882352</v>
      </c>
      <c r="O55" s="42">
        <f>Data!$Q175</f>
        <v>98.52941176470587</v>
      </c>
      <c r="P55" s="42">
        <f>Data!$Q189</f>
        <v>105.14705882352941</v>
      </c>
      <c r="Q55" s="42">
        <f>Data!$Q203</f>
        <v>105.14705882352941</v>
      </c>
      <c r="R55" s="42">
        <f>Data!$Q217</f>
        <v>105.14705882352941</v>
      </c>
      <c r="S55" s="42">
        <f>Data!$Q231</f>
        <v>97.794117647058812</v>
      </c>
      <c r="T55" s="42">
        <f>Data!$Q245</f>
        <v>91.17647058823529</v>
      </c>
      <c r="U55" s="42">
        <f>Data!$Q259</f>
        <v>83.088235294117638</v>
      </c>
      <c r="V55" s="42">
        <f>Data!$Q273</f>
        <v>79.411764705882348</v>
      </c>
      <c r="W55" s="42">
        <f>Data!$Q287</f>
        <v>76.470588235294116</v>
      </c>
      <c r="X55" s="42">
        <f>Data!$Q301</f>
        <v>72.794117647058812</v>
      </c>
      <c r="Y55" s="42">
        <f>Data!$Q315</f>
        <v>71.323529411764696</v>
      </c>
      <c r="Z55" s="42">
        <f>Data!$Q329</f>
        <v>60.294117647058819</v>
      </c>
      <c r="AA55" s="42">
        <f>Data!$Q343</f>
        <v>44.852941176470587</v>
      </c>
      <c r="AB55" s="42">
        <f>Data!$Q357</f>
        <v>45.588235294117645</v>
      </c>
      <c r="AC55" s="42">
        <f>Data!$Q371</f>
        <v>44.852941176470587</v>
      </c>
      <c r="AD55" s="42">
        <f>Data!$Q385</f>
        <v>44.852941176470587</v>
      </c>
      <c r="AE55" s="42">
        <f>Data!$Q399</f>
        <v>39.705882352941174</v>
      </c>
      <c r="AF55" s="42">
        <f>Data!$Q413</f>
        <v>36.029411764705877</v>
      </c>
      <c r="AG55" s="42">
        <f>Data!$Q427</f>
        <v>27.941176470588232</v>
      </c>
      <c r="AH55" s="42">
        <f>Data!$Q441</f>
        <v>27.941176470588232</v>
      </c>
      <c r="AI55" s="42">
        <f>Data!$Q455</f>
        <v>27.205882352941174</v>
      </c>
      <c r="AJ55" s="42">
        <f>Data!$Q469</f>
        <v>27.205882352941174</v>
      </c>
      <c r="AK55" s="42">
        <f>Data!$Q483</f>
        <v>24.999999999999996</v>
      </c>
      <c r="AL55" s="42">
        <f>Data!$Q497</f>
        <v>24.999999999999996</v>
      </c>
      <c r="AM55" s="42">
        <f>Data!$Q511</f>
        <v>22.058823529411764</v>
      </c>
      <c r="AN55" s="42">
        <f>Data!$Q525</f>
        <v>22.058823529411764</v>
      </c>
      <c r="AO55" s="42">
        <f>Data!$Q539</f>
        <v>25.735294117647058</v>
      </c>
      <c r="AP55" s="42">
        <f>Data!$Q553</f>
        <v>23.52941176470588</v>
      </c>
      <c r="AQ55" s="42">
        <f>Data!$Q567</f>
        <v>23.52941176470588</v>
      </c>
      <c r="AR55" s="42">
        <f>Data!$Q581</f>
        <v>22.058823529411764</v>
      </c>
      <c r="AS55" s="42">
        <f>Data!$Q595</f>
        <v>20.588235294117645</v>
      </c>
      <c r="AT55" s="42">
        <f>Data!$Q609</f>
        <v>18.382352941176471</v>
      </c>
      <c r="AU55" s="42">
        <f>Data!$Q623</f>
        <v>19.117647058823529</v>
      </c>
      <c r="AV55" s="42">
        <f>Data!$Q637</f>
        <v>19.117647058823529</v>
      </c>
      <c r="AW55" s="42">
        <f>Data!$Q651</f>
        <v>16.911764705882351</v>
      </c>
      <c r="AX55" s="42">
        <f>Data!$Q665</f>
        <v>13.235294117647058</v>
      </c>
      <c r="AY55" s="42">
        <f>Data!$Q679</f>
        <v>13.235294117647058</v>
      </c>
      <c r="AZ55" s="42">
        <f>Data!$Q693</f>
        <v>12.499999999999998</v>
      </c>
      <c r="BA55" s="42">
        <f>Data!$Q707</f>
        <v>12.499999999999998</v>
      </c>
      <c r="BB55" s="42">
        <f>Data!$Q721</f>
        <v>11.76470588235294</v>
      </c>
      <c r="BC55" s="42">
        <f>Data!$Q735</f>
        <v>10.294117647058822</v>
      </c>
      <c r="BD55" s="42">
        <f>Data!$Q749</f>
        <v>10.294117647058822</v>
      </c>
      <c r="BE55" s="42">
        <f>Data!$Q763</f>
        <v>10.294117647058822</v>
      </c>
      <c r="BF55" s="42">
        <f>Data!$Q777</f>
        <v>6.617647058823529</v>
      </c>
      <c r="BG55" s="42">
        <f>Data!$Q791</f>
        <v>7.3529411764705879</v>
      </c>
      <c r="BH55" s="42">
        <f>Data!$Q805</f>
        <v>8.8235294117647047</v>
      </c>
      <c r="BI55" s="42">
        <f>Data!$Q819</f>
        <v>6.617647058823529</v>
      </c>
      <c r="BJ55" s="42">
        <f>Data!$Q833</f>
        <v>5.1470588235294112</v>
      </c>
      <c r="BK55" s="42">
        <f>Data!$Q847</f>
        <v>6.617647058823529</v>
      </c>
      <c r="BL55" s="42">
        <f>Data!$Q861</f>
        <v>6.617647058823529</v>
      </c>
    </row>
    <row r="56" spans="2:64" x14ac:dyDescent="0.3">
      <c r="B56" t="str">
        <f t="shared" si="7"/>
        <v>Sask</v>
      </c>
      <c r="C56" s="42">
        <f>Data!$Q8</f>
        <v>86.324786324786331</v>
      </c>
      <c r="D56" s="42">
        <f>Data!$Q22</f>
        <v>111.96581196581197</v>
      </c>
      <c r="E56" s="42">
        <f>Data!$Q36</f>
        <v>141.88034188034189</v>
      </c>
      <c r="F56" s="42">
        <f>Data!$Q50</f>
        <v>137.60683760683762</v>
      </c>
      <c r="G56" s="42">
        <f>Data!$Q64</f>
        <v>136.75213675213675</v>
      </c>
      <c r="H56" s="42">
        <f>Data!$Q78</f>
        <v>142.73504273504275</v>
      </c>
      <c r="I56" s="42">
        <f>Data!$Q92</f>
        <v>144.44444444444446</v>
      </c>
      <c r="J56" s="42">
        <f>Data!$Q106</f>
        <v>147.86324786324786</v>
      </c>
      <c r="K56" s="42">
        <f>Data!$Q120</f>
        <v>144.44444444444446</v>
      </c>
      <c r="L56" s="42">
        <f>Data!$Q134</f>
        <v>144.44444444444446</v>
      </c>
      <c r="M56" s="42">
        <f>Data!$Q148</f>
        <v>141.02564102564102</v>
      </c>
      <c r="N56" s="42">
        <f>Data!$Q162</f>
        <v>136.75213675213675</v>
      </c>
      <c r="O56" s="42">
        <f>Data!$Q176</f>
        <v>124.7863247863248</v>
      </c>
      <c r="P56" s="42">
        <f>Data!$Q190</f>
        <v>117.94871794871796</v>
      </c>
      <c r="Q56" s="42">
        <f>Data!$Q204</f>
        <v>100.85470085470087</v>
      </c>
      <c r="R56" s="42">
        <f>Data!$Q218</f>
        <v>94.017094017094024</v>
      </c>
      <c r="S56" s="42">
        <f>Data!$Q232</f>
        <v>81.196581196581207</v>
      </c>
      <c r="T56" s="42">
        <f>Data!$Q246</f>
        <v>70.085470085470092</v>
      </c>
      <c r="U56" s="42">
        <f>Data!$Q260</f>
        <v>64.102564102564102</v>
      </c>
      <c r="V56" s="42">
        <f>Data!$Q274</f>
        <v>64.102564102564102</v>
      </c>
      <c r="W56" s="42">
        <f>Data!$Q288</f>
        <v>63.247863247863251</v>
      </c>
      <c r="X56" s="42">
        <f>Data!$Q302</f>
        <v>54.700854700854705</v>
      </c>
      <c r="Y56" s="42">
        <f>Data!$Q316</f>
        <v>52.136752136752143</v>
      </c>
      <c r="Z56" s="42">
        <f>Data!$Q330</f>
        <v>48.717948717948723</v>
      </c>
      <c r="AA56" s="42">
        <f>Data!$Q344</f>
        <v>48.717948717948723</v>
      </c>
      <c r="AB56" s="42">
        <f>Data!$Q358</f>
        <v>48.717948717948723</v>
      </c>
      <c r="AC56" s="42">
        <f>Data!$Q372</f>
        <v>61.53846153846154</v>
      </c>
      <c r="AD56" s="42">
        <f>Data!$Q386</f>
        <v>59.82905982905983</v>
      </c>
      <c r="AE56" s="42">
        <f>Data!$Q400</f>
        <v>73.504273504273513</v>
      </c>
      <c r="AF56" s="42">
        <f>Data!$Q414</f>
        <v>75.213675213675216</v>
      </c>
      <c r="AG56" s="42">
        <f>Data!$Q428</f>
        <v>95.726495726495727</v>
      </c>
      <c r="AH56" s="42">
        <f>Data!$Q442</f>
        <v>96.581196581196593</v>
      </c>
      <c r="AI56" s="42">
        <f>Data!$Q456</f>
        <v>131.62393162393164</v>
      </c>
      <c r="AJ56" s="42">
        <f>Data!$Q470</f>
        <v>146.15384615384616</v>
      </c>
      <c r="AK56" s="42">
        <f>Data!$Q484</f>
        <v>165.81196581196582</v>
      </c>
      <c r="AL56" s="42">
        <f>Data!$Q498</f>
        <v>167.52136752136752</v>
      </c>
      <c r="AM56" s="42">
        <f>Data!$Q512</f>
        <v>173.50427350427353</v>
      </c>
      <c r="AN56" s="42">
        <f>Data!$Q526</f>
        <v>176.92307692307693</v>
      </c>
      <c r="AO56" s="42">
        <f>Data!$Q540</f>
        <v>170.08547008547009</v>
      </c>
      <c r="AP56" s="42">
        <f>Data!$Q554</f>
        <v>164.95726495726495</v>
      </c>
      <c r="AQ56" s="42">
        <f>Data!$Q568</f>
        <v>158.97435897435898</v>
      </c>
      <c r="AR56" s="42">
        <f>Data!$Q582</f>
        <v>152.13675213675214</v>
      </c>
      <c r="AS56" s="42">
        <f>Data!$Q596</f>
        <v>150.42735042735043</v>
      </c>
      <c r="AT56" s="42">
        <f>Data!$Q610</f>
        <v>129.91452991452994</v>
      </c>
      <c r="AU56" s="42">
        <f>Data!$Q624</f>
        <v>111.96581196581197</v>
      </c>
      <c r="AV56" s="42">
        <f>Data!$Q638</f>
        <v>105.12820512820514</v>
      </c>
      <c r="AW56" s="42">
        <f>Data!$Q652</f>
        <v>101.70940170940172</v>
      </c>
      <c r="AX56" s="42">
        <f>Data!$Q666</f>
        <v>90.598290598290603</v>
      </c>
      <c r="AY56" s="42">
        <f>Data!$Q680</f>
        <v>84.615384615384627</v>
      </c>
      <c r="AZ56" s="42">
        <f>Data!$Q694</f>
        <v>75.213675213675216</v>
      </c>
      <c r="BA56" s="42">
        <f>Data!$Q708</f>
        <v>69.230769230769241</v>
      </c>
      <c r="BB56" s="42">
        <f>Data!$Q722</f>
        <v>65.81196581196582</v>
      </c>
      <c r="BC56" s="42">
        <f>Data!$Q736</f>
        <v>58.119658119658126</v>
      </c>
      <c r="BD56" s="42">
        <f>Data!$Q750</f>
        <v>52.136752136752143</v>
      </c>
      <c r="BE56" s="42">
        <f>Data!$Q764</f>
        <v>52.136752136752143</v>
      </c>
      <c r="BF56" s="42">
        <f>Data!$Q778</f>
        <v>47.008547008547012</v>
      </c>
      <c r="BG56" s="42">
        <f>Data!$Q792</f>
        <v>40.17094017094017</v>
      </c>
      <c r="BH56" s="42">
        <f>Data!$Q806</f>
        <v>28.205128205128208</v>
      </c>
      <c r="BI56" s="42">
        <f>Data!$Q820</f>
        <v>29.059829059829063</v>
      </c>
      <c r="BJ56" s="42">
        <f>Data!$Q834</f>
        <v>24.786324786324787</v>
      </c>
      <c r="BK56" s="42">
        <f>Data!$Q848</f>
        <v>23.076923076923077</v>
      </c>
      <c r="BL56" s="42">
        <f>Data!$Q862</f>
        <v>23.931623931623932</v>
      </c>
    </row>
    <row r="57" spans="2:64" x14ac:dyDescent="0.3">
      <c r="B57" t="str">
        <f t="shared" si="7"/>
        <v>Maritimes</v>
      </c>
      <c r="C57" s="42">
        <f>(Data!$C9-Data!$E9-Data!$F9+Data!$C10-Data!$E10-Data!$F10+Data!$C11-Data!$E11-Data!$F11)/(Data!$D9+Data!$D10+Data!$D11)</f>
        <v>73.506081438392386</v>
      </c>
      <c r="D57" s="42">
        <f>(Data!$C23-Data!$E23-Data!$F23+Data!$C24-Data!$E24-Data!$F24+Data!$C25-Data!$E25-Data!$F25)/(Data!$D23+Data!$D24+Data!$D25)</f>
        <v>94.130089899524066</v>
      </c>
      <c r="E57" s="42">
        <f>(Data!$C37-Data!$E37-Data!$F37+Data!$C38-Data!$E38-Data!$F38+Data!$C39-Data!$E39-Data!$F39)/(Data!$D37+Data!$D38+Data!$D39)</f>
        <v>105.76414595452141</v>
      </c>
      <c r="F57" s="42">
        <f>(Data!$C51-Data!$E51-Data!$F51+Data!$C52-Data!$E52-Data!$F52+Data!$C53-Data!$E53-Data!$F53)/(Data!$D51+Data!$D52+Data!$D53)</f>
        <v>115.28291909042835</v>
      </c>
      <c r="G57" s="42">
        <f>(Data!$C65-Data!$E65-Data!$F65+Data!$C66-Data!$E66-Data!$F66+Data!$C67-Data!$E67-Data!$F67)/(Data!$D65+Data!$D66+Data!$D67)</f>
        <v>127.4457958751983</v>
      </c>
      <c r="H57" s="42">
        <f>(Data!$C79-Data!$E79-Data!$F79+Data!$C80-Data!$E80-Data!$F80+Data!$C81-Data!$E81-Data!$F81)/(Data!$D79+Data!$D80+Data!$D81)</f>
        <v>140.13749338974088</v>
      </c>
      <c r="I57" s="42">
        <f>(Data!$C93-Data!$E93-Data!$F93+Data!$C94-Data!$E94-Data!$F94+Data!$C95-Data!$E95-Data!$F95)/(Data!$D93+Data!$D94+Data!$D95)</f>
        <v>144.89687995769435</v>
      </c>
      <c r="J57" s="42">
        <f>(Data!$C107-Data!$E107-Data!$F107+Data!$C108-Data!$E108-Data!$F108+Data!$C109-Data!$E109-Data!$F109)/(Data!$D107+Data!$D108+Data!$D109)</f>
        <v>145.42570068746696</v>
      </c>
      <c r="K57" s="42">
        <f>(Data!$C121-Data!$E121-Data!$F121+Data!$C122-Data!$E122-Data!$F122+Data!$C123-Data!$E123-Data!$F123)/(Data!$D107+Data!$D108+Data!$D109)</f>
        <v>167.10735060814383</v>
      </c>
      <c r="L57" s="42">
        <f>(Data!$C135-Data!$E135-Data!$F135+Data!$C136-Data!$E136-Data!$F136+Data!$C137-Data!$E137-Data!$F137)/(Data!$D107+Data!$D108+Data!$D109)</f>
        <v>170.80909571655209</v>
      </c>
      <c r="M57" s="42">
        <f>(Data!$C149-Data!$E149-Data!$F149+Data!$C150-Data!$E150-Data!$F150+Data!$C151-Data!$E151-Data!$F151)/(Data!$D107+Data!$D108+Data!$D109)</f>
        <v>173.98202009518772</v>
      </c>
      <c r="N57" s="42">
        <f>(Data!$H163+Data!$H164+Data!$H165)/(Data!$D107+Data!$D108+Data!$D109)</f>
        <v>187.73135906927553</v>
      </c>
      <c r="O57" s="42">
        <f>(Data!$H177+Data!$H178+Data!$H179)/(Data!$D107+Data!$D108+Data!$D109)</f>
        <v>196.72131147540983</v>
      </c>
      <c r="P57" s="42">
        <f>(Data!$H191+Data!$H192+Data!$H193)/(Data!$D107+Data!$D108+Data!$D109)</f>
        <v>201.4806980433633</v>
      </c>
      <c r="Q57" s="42">
        <f>(Data!$H205+Data!$H206+Data!$H207)/(Data!$D107+Data!$D108+Data!$D109)</f>
        <v>218.93178212585934</v>
      </c>
      <c r="R57" s="42">
        <f>(Data!$H219+Data!$H220+Data!$H221)/(Data!$D107+Data!$D108+Data!$D109)</f>
        <v>228.97937599153886</v>
      </c>
      <c r="S57" s="42">
        <f>(Data!$H233+Data!$H234+Data!$H235)/(Data!$D107+Data!$D108+Data!$D109)</f>
        <v>239.0269698572184</v>
      </c>
      <c r="T57" s="42">
        <f>(Data!$H247+Data!$H248+Data!$H249)/(Data!$D107+Data!$D108+Data!$D109)</f>
        <v>232.68112109994712</v>
      </c>
      <c r="U57" s="42">
        <f>(Data!$H261+Data!$H262+Data!$H263)/(Data!$D107+Data!$D108+Data!$D109)</f>
        <v>244.31517715494448</v>
      </c>
      <c r="V57" s="42">
        <f>(Data!$H275+Data!$H276+Data!$H277)/(Data!$D107+Data!$D108+Data!$D109)</f>
        <v>260.17979904812267</v>
      </c>
      <c r="W57" s="42">
        <f>(Data!$H289+Data!$H290+Data!$H291)/(Data!$D107+Data!$D108+Data!$D109)</f>
        <v>257.53569539925962</v>
      </c>
      <c r="X57" s="42">
        <f>(Data!$H303+Data!$H304+Data!$H305)/(Data!$D107+Data!$D108+Data!$D109)</f>
        <v>243.25753569539927</v>
      </c>
      <c r="Y57" s="42">
        <f>(Data!$H317+Data!$H318+Data!$H319)/(Data!$D107+Data!$D108+Data!$D109)</f>
        <v>235.85404547858275</v>
      </c>
      <c r="Z57" s="42">
        <f>(Data!$H331+Data!$H332+Data!$H333)/(Data!$D107+Data!$D108+Data!$D109)</f>
        <v>248.01692226335271</v>
      </c>
      <c r="AA57" s="42">
        <f>(Data!$H345+Data!$H346+Data!$H347)/(Data!$D107+Data!$D108+Data!$D109)</f>
        <v>240.61343204653622</v>
      </c>
      <c r="AB57" s="42">
        <f>(Data!$H359+Data!$H360+Data!$H361)/(Data!$D107+Data!$D108+Data!$D109)</f>
        <v>234.79640401903754</v>
      </c>
      <c r="AC57" s="42">
        <f>(Data!$H373+Data!$H374+Data!$H375)/(Data!$D107+Data!$D108+Data!$D109)</f>
        <v>198.30777366472765</v>
      </c>
      <c r="AD57" s="42">
        <f>(Data!$H387+Data!$H388+Data!$H389)/(Data!$D107+Data!$D108+Data!$D109)</f>
        <v>197.77895293495504</v>
      </c>
      <c r="AE57" s="42">
        <f>(Data!$H401+Data!$H402+Data!$H403)/(Data!$D107+Data!$D108+Data!$D109)</f>
        <v>203.59598096245372</v>
      </c>
      <c r="AF57" s="42">
        <f>(Data!$H415+Data!$H416+Data!$H417)/(Data!$D107+Data!$D108+Data!$D109)</f>
        <v>201.4806980433633</v>
      </c>
      <c r="AG57" s="42">
        <f>(Data!$H429+Data!$H430+Data!$H431)/(Data!$D107+Data!$D108+Data!$D109)</f>
        <v>181.38551031200424</v>
      </c>
      <c r="AH57" s="42">
        <f>(Data!$H443+Data!$H444+Data!$H445)/(Data!$D107+Data!$D108+Data!$D109)</f>
        <v>172.39555790586991</v>
      </c>
      <c r="AI57" s="42">
        <f>(Data!$H457+Data!$H458+Data!$H459)/(Data!$D107+Data!$D108+Data!$D109)</f>
        <v>164.46324695928081</v>
      </c>
      <c r="AJ57" s="42">
        <f>(Data!$H471+Data!$H472+Data!$H473)/(Data!$D107+Data!$D108+Data!$D109)</f>
        <v>159.17503966155473</v>
      </c>
      <c r="AK57" s="42">
        <f>(Data!$H485+Data!$H486+Data!$H487)/(Data!$D107+Data!$D108+Data!$D109)</f>
        <v>158.11739820200953</v>
      </c>
      <c r="AL57" s="42">
        <f>(Data!$H499+Data!$H500+Data!$H501)/(Data!$D107+Data!$D108+Data!$D109)</f>
        <v>136.43574828133262</v>
      </c>
      <c r="AM57" s="42">
        <f>(Data!$H513+Data!$H514+Data!$H515)/(Data!$D107+Data!$D108+Data!$D109)</f>
        <v>127.97461660497092</v>
      </c>
      <c r="AN57" s="42">
        <f>(Data!$H527+Data!$H528+Data!$H529)/(Data!$D107+Data!$D108+Data!$D109)</f>
        <v>117.92702273929137</v>
      </c>
      <c r="AO57" s="42">
        <f>(Data!$H541+Data!$H542+Data!$H543)/(Data!$D107+Data!$D108+Data!$D109)</f>
        <v>108.93707033315705</v>
      </c>
      <c r="AP57" s="42">
        <f>(Data!$H555+Data!$H556+Data!$H557)/(Data!$D107+Data!$D108+Data!$D109)</f>
        <v>58.17028027498678</v>
      </c>
      <c r="AQ57" s="42">
        <f>(Data!$H569+Data!$H570+Data!$H571)/(Data!$D107+Data!$D108+Data!$D109)</f>
        <v>55.526176626123743</v>
      </c>
      <c r="AR57" s="42">
        <f>(Data!$H583+Data!$H584+Data!$H585)/(Data!$D107+Data!$D108+Data!$D109)</f>
        <v>35.959809624537279</v>
      </c>
      <c r="AS57" s="42">
        <f>(Data!$H597+Data!$H598+Data!$H599)/(Data!$D107+Data!$D108+Data!$D109)</f>
        <v>32.786885245901637</v>
      </c>
      <c r="AT57" s="42">
        <f>(Data!$H611+Data!$H612+Data!$H613)/(Data!$D107+Data!$D108+Data!$D109)</f>
        <v>27.498677948175569</v>
      </c>
      <c r="AU57" s="42">
        <f>(Data!$H625+Data!$H626+Data!$H627)/(Data!$D107+Data!$D108+Data!$D109)</f>
        <v>22.210470650449498</v>
      </c>
      <c r="AV57" s="42">
        <f>(Data!$H639+Data!$H640+Data!$H641)/(Data!$D107+Data!$D108+Data!$D109)</f>
        <v>16.922263352723427</v>
      </c>
      <c r="AW57" s="42">
        <f>(Data!$H653+Data!$H654+Data!$H655)/(Data!$D107+Data!$D108+Data!$D109)</f>
        <v>16.922263352723427</v>
      </c>
      <c r="AX57" s="42">
        <f>(Data!$H667+Data!$H668+Data!$H669)/(Data!$D107+Data!$D108+Data!$D109)</f>
        <v>15.864621893178212</v>
      </c>
      <c r="AY57" s="42">
        <f>(Data!$H681+Data!$H682+Data!$H683)/(Data!$D107+Data!$D108+Data!$D109)</f>
        <v>15.864621893178212</v>
      </c>
      <c r="AZ57" s="42">
        <f>(Data!$H695+Data!$H696+Data!$H697)/(Data!$D107+Data!$D108+Data!$D109)</f>
        <v>12.162876784769963</v>
      </c>
      <c r="BA57" s="42">
        <f>(Data!$H709+Data!$H710+Data!$H711)/(Data!$D107+Data!$D108+Data!$D109)</f>
        <v>10.576414595452142</v>
      </c>
      <c r="BB57" s="42">
        <f>(Data!$H723+Data!$H724+Data!$H725)/(Data!$D107+Data!$D108+Data!$D109)</f>
        <v>10.047593865679534</v>
      </c>
      <c r="BC57" s="42">
        <f>(Data!$H737+Data!$H738+Data!$H739)/(Data!$D107+Data!$D108+Data!$D109)</f>
        <v>11.634056054997355</v>
      </c>
      <c r="BD57" s="42">
        <f>(Data!$H751+Data!$H752+Data!$H753)/(Data!$D107+Data!$D108+Data!$D109)</f>
        <v>13.220518244315176</v>
      </c>
      <c r="BE57" s="42">
        <f>(Data!$H765+Data!$H766+Data!$H767)/(Data!$D107+Data!$D108+Data!$D109)</f>
        <v>13.749338974087784</v>
      </c>
      <c r="BF57" s="42">
        <f>(Data!$H779+Data!$H780+Data!$H781)/(Data!$D107+Data!$D108+Data!$D109)</f>
        <v>14.278159703860391</v>
      </c>
      <c r="BG57" s="42">
        <f>(Data!$H793+Data!$H794+Data!$H795)/(Data!$D107+Data!$D108+Data!$D109)</f>
        <v>13.220518244315176</v>
      </c>
      <c r="BH57" s="42">
        <f>(Data!$H807+Data!$H808+Data!$H809)/(Data!$D107+Data!$D108+Data!$D109)</f>
        <v>9.5187731359069279</v>
      </c>
      <c r="BI57" s="42">
        <f>(Data!$H821+Data!$H822+Data!$H823)/(Data!$D107+Data!$D108+Data!$D109)</f>
        <v>10.576414595452142</v>
      </c>
      <c r="BJ57" s="42">
        <f>(Data!$H835+Data!$H836+Data!$H837)/(Data!$D107+Data!$D108+Data!$D109)</f>
        <v>8.9899524061343197</v>
      </c>
      <c r="BK57" s="42">
        <f>(Data!$H849+Data!$H850+Data!$H851)/(Data!$D107+Data!$D108+Data!$D109)</f>
        <v>7.932310946589106</v>
      </c>
      <c r="BL57" s="42">
        <f>(Data!$H863+Data!$H684+Data!$H865)/(Data!$D107+Data!$D108+Data!$D109)</f>
        <v>3.7017451084082498</v>
      </c>
    </row>
    <row r="58" spans="2:64" x14ac:dyDescent="0.3">
      <c r="B58" t="str">
        <f t="shared" si="7"/>
        <v>NFLD</v>
      </c>
      <c r="C58" s="42">
        <f>Data!Q12</f>
        <v>194.6564885496183</v>
      </c>
      <c r="D58" s="42">
        <f>Data!Q26</f>
        <v>221.37404580152671</v>
      </c>
      <c r="E58" s="42">
        <f>Data!Q40</f>
        <v>272.90076335877859</v>
      </c>
      <c r="F58" s="42">
        <f>Data!Q54</f>
        <v>274.80916030534348</v>
      </c>
      <c r="G58" s="42">
        <f>Data!$Q68</f>
        <v>318.70229007633588</v>
      </c>
      <c r="H58" s="42">
        <f>Data!$Q82</f>
        <v>328.24427480916029</v>
      </c>
      <c r="I58" s="42">
        <f>Data!$Q96</f>
        <v>354.96183206106866</v>
      </c>
      <c r="J58" s="42">
        <f>Data!$Q110</f>
        <v>351.14503816793894</v>
      </c>
      <c r="K58" s="42">
        <f>Data!$Q124</f>
        <v>366.41221374045801</v>
      </c>
      <c r="L58" s="42">
        <f>Data!$Q138</f>
        <v>337.78625954198469</v>
      </c>
      <c r="M58" s="42">
        <f>Data!$Q152</f>
        <v>297.70992366412213</v>
      </c>
      <c r="N58" s="42">
        <f>Data!$Q166</f>
        <v>263.35877862595419</v>
      </c>
      <c r="O58" s="42">
        <f>Data!$Q180</f>
        <v>255.72519083969465</v>
      </c>
      <c r="P58" s="42">
        <f>Data!$Q194</f>
        <v>227.09923664122135</v>
      </c>
      <c r="Q58" s="42">
        <f>Data!$Q208</f>
        <v>227.09923664122135</v>
      </c>
      <c r="R58" s="42">
        <f>Data!$Q222</f>
        <v>175.57251908396947</v>
      </c>
      <c r="S58" s="42">
        <f>Data!$Q236</f>
        <v>162.21374045801525</v>
      </c>
      <c r="T58" s="42">
        <f>Data!$Q250</f>
        <v>150.76335877862596</v>
      </c>
      <c r="U58" s="42">
        <f>Data!$Q264</f>
        <v>146.94656488549617</v>
      </c>
      <c r="V58" s="42">
        <f>Data!$Q278</f>
        <v>122.13740458015266</v>
      </c>
      <c r="W58" s="42">
        <f>Data!$Q292</f>
        <v>118.32061068702289</v>
      </c>
      <c r="X58" s="42">
        <f>Data!$Q306</f>
        <v>112.59541984732824</v>
      </c>
      <c r="Y58" s="42">
        <f>Data!$Q320</f>
        <v>103.05343511450381</v>
      </c>
      <c r="Z58" s="42">
        <f>Data!$Q334</f>
        <v>91.603053435114504</v>
      </c>
      <c r="AA58" s="42">
        <f>Data!$Q348</f>
        <v>87.786259541984734</v>
      </c>
      <c r="AB58" s="42">
        <f>Data!$Q362</f>
        <v>87.786259541984734</v>
      </c>
      <c r="AC58" s="42">
        <f>Data!$Q376</f>
        <v>62.977099236641216</v>
      </c>
      <c r="AD58" s="42">
        <f>Data!$Q390</f>
        <v>62.977099236641216</v>
      </c>
      <c r="AE58" s="42">
        <f>Data!$Q404</f>
        <v>62.977099236641216</v>
      </c>
      <c r="AF58" s="42">
        <f>Data!$Q418</f>
        <v>57.251908396946561</v>
      </c>
      <c r="AG58" s="42">
        <f>Data!$Q432</f>
        <v>49.618320610687022</v>
      </c>
      <c r="AH58" s="42">
        <f>Data!$Q446</f>
        <v>47.709923664122137</v>
      </c>
      <c r="AI58" s="42">
        <f>Data!$Q460</f>
        <v>43.893129770992367</v>
      </c>
      <c r="AJ58" s="42">
        <f>Data!$Q474</f>
        <v>28.625954198473281</v>
      </c>
      <c r="AK58" s="42">
        <f>Data!$Q488</f>
        <v>22.900763358778626</v>
      </c>
      <c r="AL58" s="42">
        <f>Data!$Q502</f>
        <v>26.717557251908396</v>
      </c>
      <c r="AM58" s="42">
        <f>Data!$Q516</f>
        <v>26.717557251908396</v>
      </c>
      <c r="AN58" s="42">
        <f>Data!$Q530</f>
        <v>26.717557251908396</v>
      </c>
      <c r="AO58" s="42">
        <f>Data!$Q544</f>
        <v>26.717557251908396</v>
      </c>
      <c r="AP58" s="42">
        <f>Data!$Q558</f>
        <v>26.717557251908396</v>
      </c>
      <c r="AQ58" s="42">
        <f>Data!$Q572</f>
        <v>20.992366412213741</v>
      </c>
      <c r="AR58" s="42">
        <f>Data!$Q586</f>
        <v>19.083969465648853</v>
      </c>
      <c r="AS58" s="42">
        <f>Data!$Q600</f>
        <v>17.175572519083968</v>
      </c>
      <c r="AT58" s="42">
        <f>Data!$Q614</f>
        <v>15.267175572519083</v>
      </c>
      <c r="AU58" s="42">
        <f>Data!$Q628</f>
        <v>15.267175572519083</v>
      </c>
      <c r="AV58" s="42">
        <f>Data!$Q642</f>
        <v>13.358778625954198</v>
      </c>
      <c r="AW58" s="42">
        <f>Data!$Q656</f>
        <v>7.6335877862595414</v>
      </c>
      <c r="AX58" s="42">
        <f>Data!$Q670</f>
        <v>7.6335877862595414</v>
      </c>
      <c r="AY58" s="42">
        <f>Data!$Q684</f>
        <v>7.6335877862595414</v>
      </c>
      <c r="AZ58" s="42">
        <f>Data!$Q698</f>
        <v>5.7251908396946565</v>
      </c>
      <c r="BA58" s="42">
        <f>Data!$Q712</f>
        <v>5.7251908396946565</v>
      </c>
      <c r="BB58" s="42">
        <f>Data!$Q726</f>
        <v>3.8167938931297707</v>
      </c>
      <c r="BC58" s="42">
        <f>Data!$Q740</f>
        <v>3.8167938931297707</v>
      </c>
      <c r="BD58" s="42">
        <f>Data!$Q754</f>
        <v>5.7251908396946565</v>
      </c>
      <c r="BE58" s="42">
        <f>Data!$Q768</f>
        <v>5.7251908396946565</v>
      </c>
      <c r="BF58" s="42">
        <f>Data!$Q782</f>
        <v>5.7251908396946565</v>
      </c>
      <c r="BG58" s="42">
        <f>Data!$Q796</f>
        <v>5.7251908396946565</v>
      </c>
      <c r="BH58" s="42">
        <f>Data!$Q810</f>
        <v>3.8167938931297707</v>
      </c>
      <c r="BI58" s="42">
        <f>Data!$Q824</f>
        <v>3.8167938931297707</v>
      </c>
      <c r="BJ58" s="42">
        <f>Data!$Q838</f>
        <v>3.8167938931297707</v>
      </c>
      <c r="BK58" s="42">
        <f>Data!$Q852</f>
        <v>3.8167938931297707</v>
      </c>
      <c r="BL58" s="42">
        <f>Data!$Q866</f>
        <v>3.8167938931297707</v>
      </c>
    </row>
    <row r="59" spans="2:64" x14ac:dyDescent="0.3">
      <c r="B59" t="str">
        <f t="shared" si="7"/>
        <v>Canada</v>
      </c>
      <c r="C59" s="42">
        <f>Data!Q13</f>
        <v>115.13297872340425</v>
      </c>
      <c r="D59" s="42">
        <f>Data!Q27</f>
        <v>141.14361702127658</v>
      </c>
      <c r="E59" s="42">
        <f>Data!Q41</f>
        <v>167.39361702127658</v>
      </c>
      <c r="F59" s="42">
        <f>Data!Q55</f>
        <v>192.7659574468085</v>
      </c>
      <c r="G59" s="42">
        <f>Data!$Q69</f>
        <v>214.89361702127658</v>
      </c>
      <c r="H59" s="42">
        <f>Data!$Q83</f>
        <v>249.17553191489361</v>
      </c>
      <c r="I59" s="42">
        <f>Data!$Q97</f>
        <v>265.74468085106383</v>
      </c>
      <c r="J59" s="42">
        <f>Data!$Q111</f>
        <v>297.39361702127661</v>
      </c>
      <c r="K59" s="42">
        <f>Data!$Q125</f>
        <v>337.81914893617022</v>
      </c>
      <c r="L59" s="42">
        <f>Data!$Q139</f>
        <v>358.13829787234039</v>
      </c>
      <c r="M59" s="42">
        <f>Data!$Q153</f>
        <v>377.71276595744678</v>
      </c>
      <c r="N59" s="42">
        <f>Data!$Q167</f>
        <v>397.47340425531911</v>
      </c>
      <c r="O59" s="42">
        <f>Data!$Q181</f>
        <v>413.98936170212767</v>
      </c>
      <c r="P59" s="42">
        <f>Data!$Q195</f>
        <v>431.83510638297872</v>
      </c>
      <c r="Q59" s="42">
        <f>Data!$Q209</f>
        <v>455.95744680851061</v>
      </c>
      <c r="R59" s="42">
        <f>Data!$Q223</f>
        <v>477.23404255319144</v>
      </c>
      <c r="S59" s="42">
        <f>Data!$Q237</f>
        <v>489.57446808510639</v>
      </c>
      <c r="T59" s="42">
        <f>Data!$Q251</f>
        <v>510.13297872340422</v>
      </c>
      <c r="U59" s="42">
        <f>Data!$Q265</f>
        <v>533.88297872340422</v>
      </c>
      <c r="V59" s="42">
        <f>Data!$Q279</f>
        <v>550.69148936170211</v>
      </c>
      <c r="W59" s="42">
        <f>Data!$Q293</f>
        <v>599.86702127659578</v>
      </c>
      <c r="X59" s="42">
        <f>Data!$Q307</f>
        <v>622.87234042553189</v>
      </c>
      <c r="Y59" s="42">
        <f>Data!$Q321</f>
        <v>644.41489361702122</v>
      </c>
      <c r="Z59" s="42">
        <f>Data!$Q335</f>
        <v>670.26595744680844</v>
      </c>
      <c r="AA59" s="42">
        <f>Data!$Q349</f>
        <v>692.68617021276589</v>
      </c>
      <c r="AB59" s="42">
        <f>Data!$Q363</f>
        <v>703.59042553191489</v>
      </c>
      <c r="AC59" s="42">
        <f>Data!$Q377</f>
        <v>732.04787234042556</v>
      </c>
      <c r="AD59" s="42">
        <f>Data!$Q391</f>
        <v>742.97872340425533</v>
      </c>
      <c r="AE59" s="42">
        <f>Data!$Q405</f>
        <v>751.968085106383</v>
      </c>
      <c r="AF59" s="42">
        <f>Data!$Q419</f>
        <v>761.40957446808511</v>
      </c>
      <c r="AG59" s="42">
        <f>Data!$Q433</f>
        <v>769.12234042553189</v>
      </c>
      <c r="AH59" s="42">
        <f>Data!$Q447</f>
        <v>780.50531914893611</v>
      </c>
      <c r="AI59" s="42">
        <f>Data!$Q461</f>
        <v>821.83510638297867</v>
      </c>
      <c r="AJ59" s="42">
        <f>Data!$Q475</f>
        <v>824.73404255319144</v>
      </c>
      <c r="AK59" s="42">
        <f>Data!$Q489</f>
        <v>825.07978723404256</v>
      </c>
      <c r="AL59" s="42">
        <f>Data!$Q503</f>
        <v>836.67553191489355</v>
      </c>
      <c r="AM59" s="42">
        <f>Data!$Q517</f>
        <v>836.67553191489355</v>
      </c>
      <c r="AN59" s="42">
        <f>Data!$Q531</f>
        <v>844.68085106382978</v>
      </c>
      <c r="AO59" s="42">
        <f>Data!$Q545</f>
        <v>850.90425531914889</v>
      </c>
      <c r="AP59" s="42">
        <f>Data!$Q559</f>
        <v>849.627659574468</v>
      </c>
      <c r="AQ59" s="42">
        <f>Data!$Q573</f>
        <v>846.19680851063822</v>
      </c>
      <c r="AR59" s="42">
        <f>Data!$Q587</f>
        <v>849.06914893617022</v>
      </c>
      <c r="AS59" s="42">
        <f>Data!$Q601</f>
        <v>854.89361702127655</v>
      </c>
      <c r="AT59" s="42">
        <f>Data!$Q615</f>
        <v>860.79787234042556</v>
      </c>
      <c r="AU59" s="42">
        <f>Data!$Q629</f>
        <v>877.71276595744678</v>
      </c>
      <c r="AV59" s="42">
        <f>Data!$Q643</f>
        <v>881.64893617021278</v>
      </c>
      <c r="AW59" s="42">
        <f>Data!$Q657</f>
        <v>886.56914893617022</v>
      </c>
      <c r="AX59" s="42">
        <f>Data!$Q671</f>
        <v>889.813829787234</v>
      </c>
      <c r="AY59" s="42">
        <f>Data!$Q685</f>
        <v>894.57446808510633</v>
      </c>
      <c r="AZ59" s="42">
        <f>Data!$Q699</f>
        <v>905.07978723404256</v>
      </c>
      <c r="BA59" s="42">
        <f>Data!$Q713</f>
        <v>918.27127659574467</v>
      </c>
      <c r="BB59" s="42">
        <f>Data!$Q727</f>
        <v>922.04787234042544</v>
      </c>
      <c r="BC59" s="42">
        <f>Data!$Q741</f>
        <v>919.94680851063822</v>
      </c>
      <c r="BD59" s="42">
        <f>Data!$Q755</f>
        <v>925.39893617021278</v>
      </c>
      <c r="BE59" s="42">
        <f>Data!$Q769</f>
        <v>928.75</v>
      </c>
      <c r="BF59" s="42">
        <f>Data!$Q783</f>
        <v>931.22340425531911</v>
      </c>
      <c r="BG59" s="42">
        <f>Data!$Q797</f>
        <v>921.62234042553189</v>
      </c>
      <c r="BH59" s="42">
        <f>Data!$Q811</f>
        <v>921.75531914893611</v>
      </c>
      <c r="BI59" s="42">
        <f>Data!$Q825</f>
        <v>918.59042553191489</v>
      </c>
      <c r="BJ59" s="42">
        <f>Data!$Q839</f>
        <v>913.563829787234</v>
      </c>
      <c r="BK59" s="42">
        <f>Data!$Q853</f>
        <v>905.95744680851055</v>
      </c>
      <c r="BL59" s="42">
        <f>Data!$Q867</f>
        <v>895.47872340425533</v>
      </c>
    </row>
    <row r="60" spans="2:64" x14ac:dyDescent="0.3">
      <c r="B60" t="str">
        <f t="shared" si="7"/>
        <v>USA</v>
      </c>
      <c r="C60" s="42">
        <f>Data!Q14</f>
        <v>291.61467889908255</v>
      </c>
      <c r="D60" s="42">
        <f>Data!Q28</f>
        <v>342.17431192660553</v>
      </c>
      <c r="E60" s="42">
        <f>Data!Q42</f>
        <v>465.09174311926603</v>
      </c>
      <c r="F60" s="42">
        <f>Data!Q56</f>
        <v>533.83180428134551</v>
      </c>
      <c r="G60" s="42">
        <f>Data!$Q70</f>
        <v>603.25688073394497</v>
      </c>
      <c r="H60" s="42">
        <f>Data!$Q84</f>
        <v>681.52905198776762</v>
      </c>
      <c r="I60" s="42">
        <f>Data!$Q98</f>
        <v>784.1559633027523</v>
      </c>
      <c r="J60" s="42">
        <f>Data!$Q112</f>
        <v>874.29051987767582</v>
      </c>
      <c r="K60" s="42">
        <f>Data!$Q126</f>
        <v>1020.7400611620795</v>
      </c>
      <c r="L60" s="42">
        <f>Data!$Q140</f>
        <v>1102.0122324159022</v>
      </c>
      <c r="M60" s="42">
        <f>Data!$Q154</f>
        <v>1185.4495412844037</v>
      </c>
      <c r="N60" s="42">
        <f>Data!$Q168</f>
        <v>1275.4464831804282</v>
      </c>
      <c r="O60" s="42">
        <f>Data!$Q182</f>
        <v>1363.9388379204893</v>
      </c>
      <c r="P60" s="42">
        <f>Data!$Q196</f>
        <v>1451.7370030581039</v>
      </c>
      <c r="Q60" s="42">
        <f>Data!$Q210</f>
        <v>1586.4556574923547</v>
      </c>
      <c r="R60" s="42">
        <f>Data!$Q224</f>
        <v>1647.1743119266055</v>
      </c>
      <c r="S60" s="42">
        <f>Data!$Q238</f>
        <v>1720.17125382263</v>
      </c>
      <c r="T60" s="42">
        <f>Data!$Q252</f>
        <v>1755.9602446483179</v>
      </c>
      <c r="U60" s="42">
        <f>Data!$Q266</f>
        <v>1831.1834862385322</v>
      </c>
      <c r="V60" s="42">
        <f>Data!$Q280</f>
        <v>1901.2584097859328</v>
      </c>
      <c r="W60" s="42">
        <f>Data!$Q294</f>
        <v>2017.1896024464831</v>
      </c>
      <c r="X60" s="42">
        <f>Data!$Q308</f>
        <v>2056.1009174311926</v>
      </c>
      <c r="Y60" s="42">
        <f>Data!$Q322</f>
        <v>2127.2048929663611</v>
      </c>
      <c r="Z60" s="42">
        <f>Data!$Q336</f>
        <v>2216.0856269113151</v>
      </c>
      <c r="AA60" s="42">
        <f>Data!$Q350</f>
        <v>2291.5565749235475</v>
      </c>
      <c r="AB60" s="42">
        <f>Data!$Q364</f>
        <v>2354.2018348623851</v>
      </c>
      <c r="AC60" s="42">
        <f>Data!$Q378</f>
        <v>2407.7859327217125</v>
      </c>
      <c r="AD60" s="42">
        <f>Data!$Q392</f>
        <v>2468.7859327217125</v>
      </c>
      <c r="AE60" s="42">
        <f>Data!$Q406</f>
        <v>2582.2018348623851</v>
      </c>
      <c r="AF60" s="42">
        <f>Data!$Q420</f>
        <v>2652.7033639143733</v>
      </c>
      <c r="AG60" s="42">
        <f>Data!$Q434</f>
        <v>2729.3730886850153</v>
      </c>
      <c r="AH60" s="42">
        <f>Data!$Q448</f>
        <v>2798.8623853211011</v>
      </c>
      <c r="AI60" s="42">
        <f>Data!$Q462</f>
        <v>2924.34250764526</v>
      </c>
      <c r="AJ60" s="42">
        <f>Data!$Q476</f>
        <v>2924.4831804281343</v>
      </c>
      <c r="AK60" s="42">
        <f>Data!$Q490</f>
        <v>2985.8715596330276</v>
      </c>
      <c r="AL60" s="42">
        <f>Data!$Q504</f>
        <v>3045.547400611621</v>
      </c>
      <c r="AM60" s="42">
        <f>Data!$Q518</f>
        <v>3099.3516819571864</v>
      </c>
      <c r="AN60" s="42">
        <f>Data!$Q532</f>
        <v>3148.5840978593274</v>
      </c>
      <c r="AO60" s="42">
        <f>Data!$Q546</f>
        <v>3180</v>
      </c>
      <c r="AP60" s="42">
        <f>Data!$Q560</f>
        <v>3189.5382262996941</v>
      </c>
      <c r="AQ60" s="42">
        <f>Data!$Q574</f>
        <v>3185.3088685015291</v>
      </c>
      <c r="AR60" s="42">
        <f>Data!$Q588</f>
        <v>3205.7859327217125</v>
      </c>
      <c r="AS60" s="42">
        <f>Data!$Q602</f>
        <v>3269.4617737003059</v>
      </c>
      <c r="AT60" s="42">
        <f>Data!$Q616</f>
        <v>3289.1987767584096</v>
      </c>
      <c r="AU60" s="42">
        <f>Data!$Q630</f>
        <v>3363.0152905198775</v>
      </c>
      <c r="AV60" s="42">
        <f>Data!$Q644</f>
        <v>3396.4648318042814</v>
      </c>
      <c r="AW60" s="42">
        <f>Data!$Q658</f>
        <v>3443.6238532110092</v>
      </c>
      <c r="AX60" s="42">
        <f>Data!$Q672</f>
        <v>3471.6452599388381</v>
      </c>
      <c r="AY60" s="42">
        <f>Data!$Q686</f>
        <v>3526.6330275229357</v>
      </c>
      <c r="AZ60" s="42">
        <f>Data!$Q700</f>
        <v>3433.0672782874617</v>
      </c>
      <c r="BA60" s="42">
        <f>Data!$Q714</f>
        <v>3497.3241590214066</v>
      </c>
      <c r="BB60" s="42">
        <f>Data!$Q728</f>
        <v>3510.7675840978595</v>
      </c>
      <c r="BC60" s="42">
        <f>Data!$Q742</f>
        <v>3530.8348623853212</v>
      </c>
      <c r="BD60" s="42">
        <f>Data!$Q756</f>
        <v>3556.8899082568805</v>
      </c>
      <c r="BE60" s="42">
        <f>Data!$Q770</f>
        <v>3607.5718654434249</v>
      </c>
      <c r="BF60" s="42">
        <f>Data!$Q784</f>
        <v>3598.3455657492354</v>
      </c>
      <c r="BG60" s="42">
        <f>Data!$Q798</f>
        <v>3470.1896024464831</v>
      </c>
      <c r="BH60" s="42">
        <f>Data!$Q812</f>
        <v>3505.6850152905199</v>
      </c>
      <c r="BI60" s="42">
        <f>Data!$Q826</f>
        <v>3477.0489296636088</v>
      </c>
      <c r="BJ60" s="42">
        <f>Data!$Q840</f>
        <v>3404.4373088685015</v>
      </c>
      <c r="BK60" s="42">
        <f>Data!$Q854</f>
        <v>3430.434250764526</v>
      </c>
      <c r="BL60" s="42">
        <f>Data!$Q868</f>
        <v>3435.2568807339449</v>
      </c>
    </row>
    <row r="62" spans="2:64" x14ac:dyDescent="0.3">
      <c r="B62" t="s">
        <v>37</v>
      </c>
      <c r="C62" s="29">
        <f t="shared" ref="C62:J62" si="8">C50</f>
        <v>43917</v>
      </c>
      <c r="D62" s="29">
        <f t="shared" si="8"/>
        <v>43918</v>
      </c>
      <c r="E62" s="29">
        <f t="shared" si="8"/>
        <v>43920</v>
      </c>
      <c r="F62" s="29">
        <f t="shared" si="8"/>
        <v>43921</v>
      </c>
      <c r="G62" s="29">
        <f t="shared" si="8"/>
        <v>43922</v>
      </c>
      <c r="H62" s="29">
        <f t="shared" si="8"/>
        <v>43923</v>
      </c>
      <c r="I62" s="29">
        <f t="shared" si="8"/>
        <v>43924</v>
      </c>
      <c r="J62" s="29">
        <f t="shared" si="8"/>
        <v>43925</v>
      </c>
      <c r="K62" s="29">
        <v>43927</v>
      </c>
      <c r="L62" s="29">
        <v>43928</v>
      </c>
      <c r="M62" s="29">
        <v>43929</v>
      </c>
      <c r="N62" s="29">
        <v>43930</v>
      </c>
      <c r="O62" s="29">
        <v>43931</v>
      </c>
      <c r="P62" s="29">
        <v>43932</v>
      </c>
      <c r="Q62" s="29">
        <v>43934</v>
      </c>
      <c r="R62" s="29">
        <v>43935</v>
      </c>
      <c r="S62" s="29">
        <v>43936</v>
      </c>
      <c r="T62" s="29">
        <v>43937</v>
      </c>
      <c r="U62" s="29">
        <v>43938</v>
      </c>
      <c r="V62" s="29">
        <v>43939</v>
      </c>
      <c r="W62" s="29">
        <v>43941</v>
      </c>
      <c r="X62" s="29">
        <v>43942</v>
      </c>
      <c r="Y62" s="29">
        <v>43943</v>
      </c>
      <c r="Z62" s="29">
        <v>43944</v>
      </c>
      <c r="AA62" s="29">
        <v>43945</v>
      </c>
      <c r="AB62" s="29">
        <v>43946</v>
      </c>
      <c r="AC62" s="29">
        <v>43948</v>
      </c>
      <c r="AD62" s="29">
        <v>43949</v>
      </c>
      <c r="AE62" s="29">
        <v>43950</v>
      </c>
      <c r="AF62" s="29">
        <v>43951</v>
      </c>
      <c r="AG62" s="29">
        <v>43952</v>
      </c>
      <c r="AH62" s="29">
        <v>43953</v>
      </c>
      <c r="AI62" s="29">
        <v>43955</v>
      </c>
      <c r="AJ62" s="29">
        <v>43956</v>
      </c>
      <c r="AK62" s="29">
        <v>43957</v>
      </c>
      <c r="AL62" s="29">
        <v>43958</v>
      </c>
      <c r="AM62" s="29">
        <v>43959</v>
      </c>
      <c r="AN62" s="29">
        <v>43960</v>
      </c>
      <c r="AO62" s="29">
        <v>43962</v>
      </c>
      <c r="AP62" s="29">
        <v>43963</v>
      </c>
      <c r="AQ62" s="29">
        <v>43964</v>
      </c>
      <c r="AR62" s="29">
        <v>43965</v>
      </c>
      <c r="AS62" s="29">
        <v>43966</v>
      </c>
      <c r="AT62" s="29">
        <v>43967</v>
      </c>
      <c r="AU62" s="29">
        <v>43969</v>
      </c>
      <c r="AV62" s="29">
        <v>43970</v>
      </c>
      <c r="AW62" s="29">
        <v>43971</v>
      </c>
      <c r="AX62" s="29">
        <v>43972</v>
      </c>
      <c r="AY62" s="29">
        <v>43973</v>
      </c>
      <c r="AZ62" s="29">
        <v>43974</v>
      </c>
      <c r="BA62" s="29">
        <v>43976</v>
      </c>
      <c r="BB62" s="29">
        <v>43977</v>
      </c>
      <c r="BC62" s="29">
        <v>43978</v>
      </c>
      <c r="BD62" s="29">
        <v>43979</v>
      </c>
      <c r="BE62" s="29">
        <v>43980</v>
      </c>
      <c r="BF62" s="29">
        <v>43981</v>
      </c>
      <c r="BG62" s="29">
        <v>43983</v>
      </c>
      <c r="BH62" s="29">
        <v>43984</v>
      </c>
      <c r="BI62" s="29">
        <v>43985</v>
      </c>
      <c r="BJ62" s="29">
        <v>43986</v>
      </c>
      <c r="BK62" s="29">
        <v>43987</v>
      </c>
      <c r="BL62" s="29">
        <v>43988</v>
      </c>
    </row>
    <row r="63" spans="2:64" x14ac:dyDescent="0.3">
      <c r="B63" t="str">
        <f t="shared" ref="B63:B72" si="9">B51</f>
        <v>Ontario</v>
      </c>
      <c r="C63" s="60">
        <f>Data!$P3</f>
        <v>1.812688821752266E-2</v>
      </c>
      <c r="D63" s="60">
        <f>Data!$P17</f>
        <v>1.5498154981549815E-2</v>
      </c>
      <c r="E63" s="60">
        <f>Data!$P31</f>
        <v>1.9343493552168817E-2</v>
      </c>
      <c r="F63" s="60">
        <f>Data!$P45</f>
        <v>1.6785350966429299E-2</v>
      </c>
      <c r="G63" s="60">
        <f>Data!$P59</f>
        <v>1.5468227424749164E-2</v>
      </c>
      <c r="H63" s="60">
        <f>Data!$P73</f>
        <v>1.8976011457214465E-2</v>
      </c>
      <c r="I63" s="60">
        <f>Data!$P87</f>
        <v>2.0583717357910907E-2</v>
      </c>
      <c r="J63" s="60">
        <f>Data!$P101</f>
        <v>2.5895316804407712E-2</v>
      </c>
      <c r="K63" s="60">
        <f>Data!$P115</f>
        <v>3.036576949620428E-2</v>
      </c>
      <c r="L63" s="60">
        <f>Data!$P129</f>
        <v>3.237410071942446E-2</v>
      </c>
      <c r="M63" s="60">
        <f>Data!$P143</f>
        <v>3.2979529946929494E-2</v>
      </c>
      <c r="N63" s="60">
        <f>Data!$P157</f>
        <v>3.4728251432540373E-2</v>
      </c>
      <c r="O63" s="60">
        <f>Data!$P171</f>
        <v>3.5594035594035595E-2</v>
      </c>
      <c r="P63" s="60">
        <f>Data!$P185</f>
        <v>3.8056558363417571E-2</v>
      </c>
      <c r="Q63" s="60">
        <f>Data!$P199</f>
        <v>3.8955823293172688E-2</v>
      </c>
      <c r="R63" s="60">
        <f>Data!$P213</f>
        <v>4.1996730793411291E-2</v>
      </c>
      <c r="S63" s="60">
        <f>Data!$P227</f>
        <v>4.5417010734929812E-2</v>
      </c>
      <c r="T63" s="60">
        <f>Data!$P241</f>
        <v>4.7204553063274188E-2</v>
      </c>
      <c r="U63" s="60">
        <f>Data!$P255</f>
        <v>5.0183727034120738E-2</v>
      </c>
      <c r="V63" s="60">
        <f>Data!$P269</f>
        <v>5.1348651348651346E-2</v>
      </c>
      <c r="W63" s="60">
        <f>Data!$P283</f>
        <v>5.2217453505007151E-2</v>
      </c>
      <c r="X63" s="60">
        <f>Data!$P297</f>
        <v>5.3003834682573497E-2</v>
      </c>
      <c r="Y63" s="60">
        <f>Data!$P311</f>
        <v>5.3817884850959577E-2</v>
      </c>
      <c r="Z63" s="60">
        <f>Data!$P325</f>
        <v>5.536144110567591E-2</v>
      </c>
      <c r="AA63" s="60">
        <f>Data!$P339</f>
        <v>5.6439085731193134E-2</v>
      </c>
      <c r="AB63" s="60">
        <f>Data!$P353</f>
        <v>5.7949267595569849E-2</v>
      </c>
      <c r="AC63" s="60">
        <f>Data!$P367</f>
        <v>6.0043080236941306E-2</v>
      </c>
      <c r="AD63" s="60">
        <f>Data!$P381</f>
        <v>6.1829529939535791E-2</v>
      </c>
      <c r="AE63" s="60">
        <f>Data!$P395</f>
        <v>6.3326551373346904E-2</v>
      </c>
      <c r="AF63" s="60">
        <f>Data!$P409</f>
        <v>6.6843763513930926E-2</v>
      </c>
      <c r="AG63" s="60">
        <f>Data!$P423</f>
        <v>6.7497591522157993E-2</v>
      </c>
      <c r="AH63" s="60">
        <f>Data!$P437</f>
        <v>6.86956013785852E-2</v>
      </c>
      <c r="AI63" s="60">
        <f>Data!$P451</f>
        <v>7.2532500139485576E-2</v>
      </c>
      <c r="AJ63" s="60">
        <f>Data!$P465</f>
        <v>7.4330966684871658E-2</v>
      </c>
      <c r="AK63" s="60">
        <f>Data!$P479</f>
        <v>7.6327315457750247E-2</v>
      </c>
      <c r="AL63" s="60">
        <f>Data!$P493</f>
        <v>7.7244913968934681E-2</v>
      </c>
      <c r="AM63" s="60">
        <f>Data!$P507</f>
        <v>7.8579446882334938E-2</v>
      </c>
      <c r="AN63" s="60">
        <f>Data!$P521</f>
        <v>8.0174488567990379E-2</v>
      </c>
      <c r="AO63" s="60">
        <f>Data!$P535</f>
        <v>8.1232356663097444E-2</v>
      </c>
      <c r="AP63" s="60">
        <f>Data!$P549</f>
        <v>8.2508250825082508E-2</v>
      </c>
      <c r="AQ63" s="60">
        <f>Data!$P563</f>
        <v>8.3113580711998494E-2</v>
      </c>
      <c r="AR63" s="60">
        <f>Data!$P577</f>
        <v>8.3651251512049871E-2</v>
      </c>
      <c r="AS63" s="60">
        <f>Data!$P591</f>
        <v>8.3249703494206739E-2</v>
      </c>
      <c r="AT63" s="60">
        <f>Data!$P605</f>
        <v>8.3269842692600723E-2</v>
      </c>
      <c r="AU63" s="60">
        <f>Data!$P619</f>
        <v>8.293766607135078E-2</v>
      </c>
      <c r="AV63" s="60">
        <f>Data!$P633</f>
        <v>8.206465959630517E-2</v>
      </c>
      <c r="AW63" s="60">
        <f>Data!$P647</f>
        <v>8.2527130478674188E-2</v>
      </c>
      <c r="AX63" s="60">
        <f>Data!$P661</f>
        <v>8.239963616818953E-2</v>
      </c>
      <c r="AY63" s="60">
        <f>Data!$P675</f>
        <v>8.2061068702290074E-2</v>
      </c>
      <c r="AZ63" s="60">
        <f>Data!$P689</f>
        <v>8.1789137380191695E-2</v>
      </c>
      <c r="BA63" s="60">
        <f>Data!$P703</f>
        <v>8.1145768993205677E-2</v>
      </c>
      <c r="BB63" s="60">
        <f>Data!$P717</f>
        <v>8.1058378832423353E-2</v>
      </c>
      <c r="BC63" s="60">
        <f>Data!$P731</f>
        <v>8.1372956236075975E-2</v>
      </c>
      <c r="BD63" s="60">
        <f>Data!$P745</f>
        <v>8.1478448596739375E-2</v>
      </c>
      <c r="BE63" s="60">
        <f>Data!$P759</f>
        <v>8.1955163542815138E-2</v>
      </c>
      <c r="BF63" s="60">
        <f>Data!$P773</f>
        <v>8.1611157520066827E-2</v>
      </c>
      <c r="BG63" s="60">
        <f>Data!$P787</f>
        <v>8.0529313944025752E-2</v>
      </c>
      <c r="BH63" s="60">
        <f>Data!$P801</f>
        <v>7.9870423908878746E-2</v>
      </c>
      <c r="BI63" s="60">
        <f>Data!$P815</f>
        <v>7.9595138912796501E-2</v>
      </c>
      <c r="BJ63" s="60">
        <f>Data!$P829</f>
        <v>8.0161888242696322E-2</v>
      </c>
      <c r="BK63" s="60">
        <f>Data!$P843</f>
        <v>7.9739133357985673E-2</v>
      </c>
      <c r="BL63" s="60">
        <f>Data!$P857</f>
        <v>7.9696708827229984E-2</v>
      </c>
    </row>
    <row r="64" spans="2:64" x14ac:dyDescent="0.3">
      <c r="B64" t="str">
        <f t="shared" si="9"/>
        <v>Quebec</v>
      </c>
      <c r="C64" s="60">
        <f>Data!$P4</f>
        <v>8.9064819396338438E-3</v>
      </c>
      <c r="D64" s="60">
        <f>Data!$P18</f>
        <v>8.8070456365092076E-3</v>
      </c>
      <c r="E64" s="60">
        <f>Data!$P32</f>
        <v>7.2886297376093291E-3</v>
      </c>
      <c r="F64" s="60">
        <f>Data!$P46</f>
        <v>7.448342143200384E-3</v>
      </c>
      <c r="G64" s="60">
        <f>Data!$P60</f>
        <v>7.1567989590110605E-3</v>
      </c>
      <c r="H64" s="60">
        <f>Data!$P74</f>
        <v>6.5241029358463209E-3</v>
      </c>
      <c r="I64" s="60">
        <f>Data!$P88</f>
        <v>9.9983609244386172E-3</v>
      </c>
      <c r="J64" s="60">
        <f>Data!$P102</f>
        <v>1.0718879519794198E-2</v>
      </c>
      <c r="K64" s="60">
        <f>Data!$P116</f>
        <v>1.4102564102564103E-2</v>
      </c>
      <c r="L64" s="60">
        <f>Data!$P130</f>
        <v>1.6059957173447537E-2</v>
      </c>
      <c r="M64" s="60">
        <f>Data!$P144</f>
        <v>1.7445917655268667E-2</v>
      </c>
      <c r="N64" s="60">
        <f>Data!$P158</f>
        <v>1.9794721407624633E-2</v>
      </c>
      <c r="O64" s="60">
        <f>Data!$P172</f>
        <v>2.0638862721589449E-2</v>
      </c>
      <c r="P64" s="60">
        <f>Data!$P186</f>
        <v>2.3511226814188088E-2</v>
      </c>
      <c r="Q64" s="60">
        <f>Data!$P200</f>
        <v>2.6554547466253596E-2</v>
      </c>
      <c r="R64" s="60">
        <f>Data!$P214</f>
        <v>3.0530600786075238E-2</v>
      </c>
      <c r="S64" s="60">
        <f>Data!$P228</f>
        <v>3.2772543741588153E-2</v>
      </c>
      <c r="T64" s="60">
        <f>Data!$P242</f>
        <v>3.973008765844737E-2</v>
      </c>
      <c r="U64" s="60">
        <f>Data!$P256</f>
        <v>4.0979212579665254E-2</v>
      </c>
      <c r="V64" s="60">
        <f>Data!$P270</f>
        <v>4.5944866160607271E-2</v>
      </c>
      <c r="W64" s="60">
        <f>Data!$P284</f>
        <v>4.8605000258812571E-2</v>
      </c>
      <c r="X64" s="60">
        <f>Data!$P298</f>
        <v>5.1724137931034482E-2</v>
      </c>
      <c r="Y64" s="60">
        <f>Data!$P312</f>
        <v>5.4090150250417364E-2</v>
      </c>
      <c r="Z64" s="60">
        <f>Data!$P326</f>
        <v>5.691913178862533E-2</v>
      </c>
      <c r="AA64" s="60">
        <f>Data!$P340</f>
        <v>5.9250088432967814E-2</v>
      </c>
      <c r="AB64" s="60">
        <f>Data!$P354</f>
        <v>6.2148106760648129E-2</v>
      </c>
      <c r="AC64" s="60">
        <f>Data!$P368</f>
        <v>6.4006084380754141E-2</v>
      </c>
      <c r="AD64" s="60">
        <f>Data!$P382</f>
        <v>6.5302636176573364E-2</v>
      </c>
      <c r="AE64" s="60">
        <f>Data!$P396</f>
        <v>6.6217943897119658E-2</v>
      </c>
      <c r="AF64" s="60">
        <f>Data!$P410</f>
        <v>6.7506717989686979E-2</v>
      </c>
      <c r="AG64" s="60">
        <f>Data!$P424</f>
        <v>7.0580843339849209E-2</v>
      </c>
      <c r="AH64" s="60">
        <f>Data!$P438</f>
        <v>7.2025896951712978E-2</v>
      </c>
      <c r="AI64" s="60">
        <f>Data!$P452</f>
        <v>6.9889341875364011E-2</v>
      </c>
      <c r="AJ64" s="60">
        <f>Data!$P466</f>
        <v>7.1759882694436963E-2</v>
      </c>
      <c r="AK64" s="60">
        <f>Data!$P480</f>
        <v>7.3120284324292836E-2</v>
      </c>
      <c r="AL64" s="60">
        <f>Data!$P494</f>
        <v>7.4663715307338674E-2</v>
      </c>
      <c r="AM64" s="60">
        <f>Data!$P466</f>
        <v>7.1759882694436963E-2</v>
      </c>
      <c r="AN64" s="60">
        <f>Data!$P522</f>
        <v>7.5325798950954412E-2</v>
      </c>
      <c r="AO64" s="60">
        <f>Data!$P536</f>
        <v>7.8322805375757101E-2</v>
      </c>
      <c r="AP64" s="60">
        <f>Data!$P550</f>
        <v>7.9821542383683872E-2</v>
      </c>
      <c r="AQ64" s="60">
        <f>Data!$P564</f>
        <v>8.0639102451729228E-2</v>
      </c>
      <c r="AR64" s="60">
        <f>Data!$P578</f>
        <v>8.211021538310749E-2</v>
      </c>
      <c r="AS64" s="60">
        <f>Data!$P592</f>
        <v>8.2110091743119271E-2</v>
      </c>
      <c r="AT64" s="60">
        <f>Data!$P606</f>
        <v>8.2568807339449546E-2</v>
      </c>
      <c r="AU64" s="60">
        <f>Data!$P620</f>
        <v>8.2426020583583559E-2</v>
      </c>
      <c r="AV64" s="60">
        <f>Data!$P634</f>
        <v>8.2516912912641127E-2</v>
      </c>
      <c r="AW64" s="60">
        <f>Data!$P648</f>
        <v>8.3037409268565052E-2</v>
      </c>
      <c r="AX64" s="60">
        <f>Data!$P662</f>
        <v>8.3525662160677E-2</v>
      </c>
      <c r="AY64" s="60">
        <f>Data!$P676</f>
        <v>8.3764981253115448E-2</v>
      </c>
      <c r="AZ64" s="60">
        <f>Data!$P690</f>
        <v>8.4119731841667017E-2</v>
      </c>
      <c r="BA64" s="60">
        <f>Data!$P704</f>
        <v>8.479909969989996E-2</v>
      </c>
      <c r="BB64" s="60">
        <f>Data!$P718</f>
        <v>8.516811391415284E-2</v>
      </c>
      <c r="BC64" s="60">
        <f>Data!$P732</f>
        <v>8.6041636988949718E-2</v>
      </c>
      <c r="BD64" s="60">
        <f>Data!$P746</f>
        <v>8.6555873003098471E-2</v>
      </c>
      <c r="BE64" s="60">
        <f>Data!$P760</f>
        <v>8.6856983596114032E-2</v>
      </c>
      <c r="BF64" s="60">
        <f>Data!$P774</f>
        <v>8.7638940988331915E-2</v>
      </c>
      <c r="BG64" s="60">
        <f>Data!$P788</f>
        <v>9.0762160688553958E-2</v>
      </c>
      <c r="BH64" s="60">
        <f>Data!$P802</f>
        <v>9.1349601690151772E-2</v>
      </c>
      <c r="BI64" s="60">
        <f>Data!$P816</f>
        <v>9.2398427260812585E-2</v>
      </c>
      <c r="BJ64" s="60">
        <f>Data!$P830</f>
        <v>9.3684674836507303E-2</v>
      </c>
      <c r="BK64" s="60">
        <f>Data!$P844</f>
        <v>9.4182984083361954E-2</v>
      </c>
      <c r="BL64" s="60">
        <f>Data!$P858</f>
        <v>9.4443599878382481E-2</v>
      </c>
    </row>
    <row r="65" spans="2:64" x14ac:dyDescent="0.3">
      <c r="B65" t="str">
        <f t="shared" si="9"/>
        <v>BC</v>
      </c>
      <c r="C65" s="60">
        <f>Data!$P5</f>
        <v>2.0202020202020204E-2</v>
      </c>
      <c r="D65" s="60">
        <f>Data!$P19</f>
        <v>1.9230769230769232E-2</v>
      </c>
      <c r="E65" s="60">
        <f>Data!$P33</f>
        <v>1.9587628865979381E-2</v>
      </c>
      <c r="F65" s="60">
        <f>Data!$P47</f>
        <v>2.3692003948667325E-2</v>
      </c>
      <c r="G65" s="60">
        <f>Data!$P61</f>
        <v>2.3452157598499061E-2</v>
      </c>
      <c r="H65" s="60">
        <f>Data!$P75</f>
        <v>2.7653880463871544E-2</v>
      </c>
      <c r="I65" s="60">
        <f>Data!$P89</f>
        <v>2.9812606473594547E-2</v>
      </c>
      <c r="J65" s="60">
        <f>Data!$P103</f>
        <v>3.1587697423108893E-2</v>
      </c>
      <c r="K65" s="60">
        <f>Data!$P117</f>
        <v>3.0805687203791468E-2</v>
      </c>
      <c r="L65" s="60">
        <f>Data!$P131</f>
        <v>3.3307513555383424E-2</v>
      </c>
      <c r="M65" s="60">
        <f>Data!$P145</f>
        <v>3.5928143712574849E-2</v>
      </c>
      <c r="N65" s="60">
        <f>Data!$P159</f>
        <v>3.6337209302325583E-2</v>
      </c>
      <c r="O65" s="60">
        <f>Data!$P173</f>
        <v>3.9007092198581561E-2</v>
      </c>
      <c r="P65" s="60">
        <f>Data!$P187</f>
        <v>4.0138408304498267E-2</v>
      </c>
      <c r="Q65" s="60">
        <f>Data!$P201</f>
        <v>4.6308724832214765E-2</v>
      </c>
      <c r="R65" s="60">
        <f>Data!$P215</f>
        <v>4.7462096242584045E-2</v>
      </c>
      <c r="S65" s="60">
        <f>Data!$P229</f>
        <v>4.8046124279308135E-2</v>
      </c>
      <c r="T65" s="60">
        <f>Data!$P243</f>
        <v>4.9523809523809526E-2</v>
      </c>
      <c r="U65" s="60">
        <f>Data!$P257</f>
        <v>4.8207663782447466E-2</v>
      </c>
      <c r="V65" s="60">
        <f>Data!$P271</f>
        <v>4.9180327868852458E-2</v>
      </c>
      <c r="W65" s="60">
        <f>Data!$P285</f>
        <v>5.0618010594467334E-2</v>
      </c>
      <c r="X65" s="60">
        <f>Data!$P299</f>
        <v>5.0464037122969839E-2</v>
      </c>
      <c r="Y65" s="60">
        <f>Data!$P313</f>
        <v>5.0139275766016712E-2</v>
      </c>
      <c r="Z65" s="60">
        <f>Data!$P327</f>
        <v>5.1535087719298246E-2</v>
      </c>
      <c r="AA65" s="60">
        <f>Data!$P341</f>
        <v>5.2887209929843498E-2</v>
      </c>
      <c r="AB65" s="60">
        <f>Data!$P355</f>
        <v>5.1334702258726897E-2</v>
      </c>
      <c r="AC65" s="60">
        <f>Data!$P369</f>
        <v>5.1551551551551549E-2</v>
      </c>
      <c r="AD65" s="60">
        <f>Data!$P383</f>
        <v>5.1144666341938629E-2</v>
      </c>
      <c r="AE65" s="60">
        <f>Data!$P397</f>
        <v>5.2228078581696216E-2</v>
      </c>
      <c r="AF65" s="60">
        <f>Data!$P411</f>
        <v>5.2556818181818184E-2</v>
      </c>
      <c r="AG65" s="60">
        <f>Data!$P425</f>
        <v>5.2556818181818184E-2</v>
      </c>
      <c r="AH65" s="60">
        <f>Data!$P439</f>
        <v>5.2214452214452214E-2</v>
      </c>
      <c r="AI65" s="60">
        <f>Data!$P453</f>
        <v>5.2607913669064747E-2</v>
      </c>
      <c r="AJ65" s="60">
        <f>Data!$P467</f>
        <v>5.4211469534050177E-2</v>
      </c>
      <c r="AK65" s="60">
        <f>Data!$P481</f>
        <v>5.4988913525498895E-2</v>
      </c>
      <c r="AL65" s="60">
        <f>Data!$P495</f>
        <v>5.5069930069930072E-2</v>
      </c>
      <c r="AM65" s="60">
        <f>Data!$P467</f>
        <v>5.4211469534050177E-2</v>
      </c>
      <c r="AN65" s="60">
        <f>Data!$P523</f>
        <v>5.536480686695279E-2</v>
      </c>
      <c r="AO65" s="60">
        <f>Data!$P537</f>
        <v>5.5248618784530384E-2</v>
      </c>
      <c r="AP65" s="60">
        <f>Data!$P551</f>
        <v>5.5508474576271186E-2</v>
      </c>
      <c r="AQ65" s="60">
        <f>Data!$P565</f>
        <v>5.5555555555555552E-2</v>
      </c>
      <c r="AR65" s="60">
        <f>Data!$P579</f>
        <v>5.6438127090301E-2</v>
      </c>
      <c r="AS65" s="60">
        <f>Data!$P593</f>
        <v>5.8163689239717493E-2</v>
      </c>
      <c r="AT65" s="60">
        <f>Data!$P607</f>
        <v>5.8072487644151564E-2</v>
      </c>
      <c r="AU65" s="60">
        <f>Data!$P621</f>
        <v>5.8510638297872342E-2</v>
      </c>
      <c r="AV65" s="60">
        <f>Data!$P635</f>
        <v>5.9689288634505316E-2</v>
      </c>
      <c r="AW65" s="60">
        <f>Data!$P649</f>
        <v>6.0397243615727604E-2</v>
      </c>
      <c r="AX65" s="60">
        <f>Data!$P663</f>
        <v>6.1315046389673257E-2</v>
      </c>
      <c r="AY65" s="60">
        <f>Data!$P677</f>
        <v>6.1826884722776226E-2</v>
      </c>
      <c r="AZ65" s="60">
        <f>Data!$P691</f>
        <v>6.237584425903854E-2</v>
      </c>
      <c r="BA65" s="60">
        <f>Data!$P705</f>
        <v>6.3661526294978246E-2</v>
      </c>
      <c r="BB65" s="60">
        <f>Data!$P719</f>
        <v>6.3360881542699726E-2</v>
      </c>
      <c r="BC65" s="60">
        <f>Data!$P733</f>
        <v>6.3529411764705876E-2</v>
      </c>
      <c r="BD65" s="60">
        <f>Data!$P747</f>
        <v>6.4112587959343242E-2</v>
      </c>
      <c r="BE65" s="60">
        <f>Data!$P761</f>
        <v>6.401249024199844E-2</v>
      </c>
      <c r="BF65" s="60">
        <f>Data!$P775</f>
        <v>6.3738826272833268E-2</v>
      </c>
      <c r="BG65" s="60">
        <f>Data!$P789</f>
        <v>6.3534847901424718E-2</v>
      </c>
      <c r="BH65" s="60">
        <f>Data!$P803</f>
        <v>6.3437139561707032E-2</v>
      </c>
      <c r="BI65" s="60">
        <f>Data!$P817</f>
        <v>6.328631338162409E-2</v>
      </c>
      <c r="BJ65" s="60">
        <f>Data!$P831</f>
        <v>6.3069908814589667E-2</v>
      </c>
      <c r="BK65" s="60">
        <f>Data!$P845</f>
        <v>6.3449848024316108E-2</v>
      </c>
      <c r="BL65" s="60">
        <f>Data!$P859</f>
        <v>6.3449848024316108E-2</v>
      </c>
    </row>
    <row r="66" spans="2:64" x14ac:dyDescent="0.3">
      <c r="B66" t="str">
        <f t="shared" si="9"/>
        <v>Alberta</v>
      </c>
      <c r="C66" s="60">
        <f>Data!$P6</f>
        <v>3.6900369003690036E-3</v>
      </c>
      <c r="D66" s="60">
        <f>Data!$P20</f>
        <v>3.2206119162640902E-3</v>
      </c>
      <c r="E66" s="60">
        <f>Data!$P34</f>
        <v>1.1594202898550725E-2</v>
      </c>
      <c r="F66" s="60">
        <f>Data!$P48</f>
        <v>1.1936339522546418E-2</v>
      </c>
      <c r="G66" s="60">
        <f>Data!$P62</f>
        <v>1.2629161882893225E-2</v>
      </c>
      <c r="H66" s="60">
        <f>Data!$P76</f>
        <v>1.3429752066115703E-2</v>
      </c>
      <c r="I66" s="60">
        <f>Data!$P90</f>
        <v>1.3184584178498986E-2</v>
      </c>
      <c r="J66" s="60">
        <f>Data!$P104</f>
        <v>1.6934801016088061E-2</v>
      </c>
      <c r="K66" s="60">
        <f>Data!$P118</f>
        <v>1.84E-2</v>
      </c>
      <c r="L66" s="60">
        <f>Data!$P132</f>
        <v>1.8936635105608158E-2</v>
      </c>
      <c r="M66" s="60">
        <f>Data!$P146</f>
        <v>2.0379479971890373E-2</v>
      </c>
      <c r="N66" s="60">
        <f>Data!$P160</f>
        <v>2.2053756030323914E-2</v>
      </c>
      <c r="O66" s="60">
        <f>Data!$P174</f>
        <v>2.5999999999999999E-2</v>
      </c>
      <c r="P66" s="60">
        <f>Data!$P188</f>
        <v>2.4856596558317401E-2</v>
      </c>
      <c r="Q66" s="60">
        <f>Data!$P202</f>
        <v>2.6558891454965358E-2</v>
      </c>
      <c r="R66" s="60">
        <f>Data!$P216</f>
        <v>2.5668449197860963E-2</v>
      </c>
      <c r="S66" s="60">
        <f>Data!$P230</f>
        <v>2.4048096192384769E-2</v>
      </c>
      <c r="T66" s="60">
        <f>Data!$P244</f>
        <v>2.3169601482854494E-2</v>
      </c>
      <c r="U66" s="60">
        <f>Data!$P258</f>
        <v>2.0859407592824362E-2</v>
      </c>
      <c r="V66" s="60">
        <f>Data!$P272</f>
        <v>1.9906323185011711E-2</v>
      </c>
      <c r="W66" s="60">
        <f>Data!$P286</f>
        <v>2.02888583218707E-2</v>
      </c>
      <c r="X66" s="60">
        <f>Data!$P300</f>
        <v>1.9709208400646203E-2</v>
      </c>
      <c r="Y66" s="60">
        <f>Data!$P314</f>
        <v>1.9406057042046457E-2</v>
      </c>
      <c r="Z66" s="60">
        <f>Data!$P328</f>
        <v>1.8010752688172042E-2</v>
      </c>
      <c r="AA66" s="60">
        <f>Data!$P342</f>
        <v>1.7923823749066467E-2</v>
      </c>
      <c r="AB66" s="60">
        <f>Data!$P356</f>
        <v>1.7286289367748047E-2</v>
      </c>
      <c r="AC66" s="60">
        <f>Data!$P370</f>
        <v>1.5971039182282792E-2</v>
      </c>
      <c r="AD66" s="60">
        <f>Data!$P384</f>
        <v>1.6494845360824743E-2</v>
      </c>
      <c r="AE66" s="60">
        <f>Data!$P398</f>
        <v>1.6844143272023233E-2</v>
      </c>
      <c r="AF66" s="60">
        <f>Data!$P412</f>
        <v>1.6619981325863679E-2</v>
      </c>
      <c r="AG66" s="60">
        <f>Data!$P426</f>
        <v>1.6508164363897362E-2</v>
      </c>
      <c r="AH66" s="60">
        <f>Data!$P440</f>
        <v>1.6578483245149912E-2</v>
      </c>
      <c r="AI66" s="60">
        <f>Data!$P454</f>
        <v>1.7738359201773836E-2</v>
      </c>
      <c r="AJ66" s="60">
        <f>Data!$P468</f>
        <v>1.7987442728661124E-2</v>
      </c>
      <c r="AK66" s="60">
        <f>Data!$P482</f>
        <v>1.8782492034210969E-2</v>
      </c>
      <c r="AL66" s="60">
        <f>Data!$P496</f>
        <v>1.8946318763503407E-2</v>
      </c>
      <c r="AM66" s="60">
        <f>Data!$P468</f>
        <v>1.7987442728661124E-2</v>
      </c>
      <c r="AN66" s="60">
        <f>Data!$P524</f>
        <v>1.8840344323534187E-2</v>
      </c>
      <c r="AO66" s="60">
        <f>Data!$P538</f>
        <v>1.8571428571428572E-2</v>
      </c>
      <c r="AP66" s="60">
        <f>Data!$P552</f>
        <v>1.8597320724980299E-2</v>
      </c>
      <c r="AQ66" s="60">
        <f>Data!$P566</f>
        <v>1.8729514593413453E-2</v>
      </c>
      <c r="AR66" s="60">
        <f>Data!$P580</f>
        <v>1.8739352640545145E-2</v>
      </c>
      <c r="AS66" s="60">
        <f>Data!$P594</f>
        <v>1.9186492709132769E-2</v>
      </c>
      <c r="AT66" s="60">
        <f>Data!$P608</f>
        <v>1.9128586609989374E-2</v>
      </c>
      <c r="AU66" s="60">
        <f>Data!$P622</f>
        <v>1.9153074966332485E-2</v>
      </c>
      <c r="AV66" s="60">
        <f>Data!$P636</f>
        <v>1.9058963668850508E-2</v>
      </c>
      <c r="AW66" s="60">
        <f>Data!$P650</f>
        <v>1.9005196733481812E-2</v>
      </c>
      <c r="AX66" s="60">
        <f>Data!$P664</f>
        <v>1.9503546099290781E-2</v>
      </c>
      <c r="AY66" s="60">
        <f>Data!$P678</f>
        <v>1.9705882352941177E-2</v>
      </c>
      <c r="AZ66" s="60">
        <f>Data!$P692</f>
        <v>1.9800528014080377E-2</v>
      </c>
      <c r="BA66" s="60">
        <f>Data!$P706</f>
        <v>2.006105538595726E-2</v>
      </c>
      <c r="BB66" s="60">
        <f>Data!$P720</f>
        <v>2.0142008404579047E-2</v>
      </c>
      <c r="BC66" s="60">
        <f>Data!$P734</f>
        <v>2.0358071036673406E-2</v>
      </c>
      <c r="BD66" s="60">
        <f>Data!$P748</f>
        <v>2.0560747663551402E-2</v>
      </c>
      <c r="BE66" s="60">
        <f>Data!$P762</f>
        <v>2.0490041553231121E-2</v>
      </c>
      <c r="BF66" s="60">
        <f>Data!$P776</f>
        <v>2.0451945080091533E-2</v>
      </c>
      <c r="BG66" s="60">
        <f>Data!$P790</f>
        <v>2.0300965360590572E-2</v>
      </c>
      <c r="BH66" s="60">
        <f>Data!$P804</f>
        <v>2.0263568088422841E-2</v>
      </c>
      <c r="BI66" s="60">
        <f>Data!$P818</f>
        <v>2.0491803278688523E-2</v>
      </c>
      <c r="BJ66" s="60">
        <f>Data!$P832</f>
        <v>2.0589479622056126E-2</v>
      </c>
      <c r="BK66" s="60">
        <f>Data!$P846</f>
        <v>2.056917441532826E-2</v>
      </c>
      <c r="BL66" s="60">
        <f>Data!$P860</f>
        <v>2.0453908657887362E-2</v>
      </c>
    </row>
    <row r="67" spans="2:64" x14ac:dyDescent="0.3">
      <c r="B67" t="str">
        <f t="shared" si="9"/>
        <v>Manitoba</v>
      </c>
      <c r="C67" s="60">
        <f>Data!$P7</f>
        <v>2.564102564102564E-2</v>
      </c>
      <c r="D67" s="60">
        <f>Data!$P21</f>
        <v>1.5625E-2</v>
      </c>
      <c r="E67" s="60">
        <f>Data!$P35</f>
        <v>1.0416666666666666E-2</v>
      </c>
      <c r="F67" s="60">
        <f>Data!$P49</f>
        <v>9.7087378640776691E-3</v>
      </c>
      <c r="G67" s="60">
        <f>Data!$P63</f>
        <v>7.874015748031496E-3</v>
      </c>
      <c r="H67" s="60">
        <f>Data!$P77</f>
        <v>5.9880239520958087E-3</v>
      </c>
      <c r="I67" s="60">
        <f>Data!$P91</f>
        <v>1.098901098901099E-2</v>
      </c>
      <c r="J67" s="60">
        <f>Data!$P105</f>
        <v>1.0309278350515464E-2</v>
      </c>
      <c r="K67" s="60">
        <f>Data!$P119</f>
        <v>9.8039215686274508E-3</v>
      </c>
      <c r="L67" s="60">
        <f>Data!$P133</f>
        <v>1.3824884792626729E-2</v>
      </c>
      <c r="M67" s="60">
        <f>Data!$P147</f>
        <v>1.3574660633484163E-2</v>
      </c>
      <c r="N67" s="60">
        <f>Data!$P161</f>
        <v>1.3392857142857142E-2</v>
      </c>
      <c r="O67" s="60">
        <f>Data!$P175</f>
        <v>1.7391304347826087E-2</v>
      </c>
      <c r="P67" s="60">
        <f>Data!$P189</f>
        <v>1.646090534979424E-2</v>
      </c>
      <c r="Q67" s="60">
        <f>Data!$P203</f>
        <v>1.6260162601626018E-2</v>
      </c>
      <c r="R67" s="60">
        <f>Data!$P217</f>
        <v>1.6260162601626018E-2</v>
      </c>
      <c r="S67" s="60">
        <f>Data!$P231</f>
        <v>2.032520325203252E-2</v>
      </c>
      <c r="T67" s="60">
        <f>Data!$P245</f>
        <v>0.02</v>
      </c>
      <c r="U67" s="60">
        <f>Data!$P259</f>
        <v>0.02</v>
      </c>
      <c r="V67" s="60">
        <f>Data!$P273</f>
        <v>1.9762845849802372E-2</v>
      </c>
      <c r="W67" s="60">
        <f>Data!$P287</f>
        <v>2.3622047244094488E-2</v>
      </c>
      <c r="X67" s="60">
        <f>Data!$P301</f>
        <v>2.3529411764705882E-2</v>
      </c>
      <c r="Y67" s="60">
        <f>Data!$P315</f>
        <v>2.3346303501945526E-2</v>
      </c>
      <c r="Z67" s="60">
        <f>Data!$P329</f>
        <v>2.2900763358778626E-2</v>
      </c>
      <c r="AA67" s="60">
        <f>Data!$P343</f>
        <v>2.2813688212927757E-2</v>
      </c>
      <c r="AB67" s="60">
        <f>Data!$P357</f>
        <v>2.247191011235955E-2</v>
      </c>
      <c r="AC67" s="60">
        <f>Data!$P371</f>
        <v>2.2058823529411766E-2</v>
      </c>
      <c r="AD67" s="60">
        <f>Data!$P385</f>
        <v>2.2058823529411766E-2</v>
      </c>
      <c r="AE67" s="60">
        <f>Data!$P399</f>
        <v>2.197802197802198E-2</v>
      </c>
      <c r="AF67" s="60">
        <f>Data!$P413</f>
        <v>2.181818181818182E-2</v>
      </c>
      <c r="AG67" s="60">
        <f>Data!$P427</f>
        <v>2.1505376344086023E-2</v>
      </c>
      <c r="AH67" s="60">
        <f>Data!$P441</f>
        <v>2.1428571428571429E-2</v>
      </c>
      <c r="AI67" s="60">
        <f>Data!$P455</f>
        <v>2.1352313167259787E-2</v>
      </c>
      <c r="AJ67" s="60">
        <f>Data!$P469</f>
        <v>2.4822695035460994E-2</v>
      </c>
      <c r="AK67" s="60">
        <f>Data!$P483</f>
        <v>2.4734982332155476E-2</v>
      </c>
      <c r="AL67" s="60">
        <f>Data!$P497</f>
        <v>2.464788732394366E-2</v>
      </c>
      <c r="AM67" s="60">
        <f>Data!$P469</f>
        <v>2.4822695035460994E-2</v>
      </c>
      <c r="AN67" s="60">
        <f>Data!$P525</f>
        <v>2.464788732394366E-2</v>
      </c>
      <c r="AO67" s="60">
        <f>Data!$P539</f>
        <v>2.4221453287197232E-2</v>
      </c>
      <c r="AP67" s="60">
        <f>Data!$P553</f>
        <v>2.4137931034482758E-2</v>
      </c>
      <c r="AQ67" s="60">
        <f>Data!$P567</f>
        <v>2.4137931034482758E-2</v>
      </c>
      <c r="AR67" s="60">
        <f>Data!$P581</f>
        <v>2.4221453287197232E-2</v>
      </c>
      <c r="AS67" s="60">
        <f>Data!$P595</f>
        <v>2.4221453287197232E-2</v>
      </c>
      <c r="AT67" s="60">
        <f>Data!$P609</f>
        <v>2.4221453287197232E-2</v>
      </c>
      <c r="AU67" s="60">
        <f>Data!$P623</f>
        <v>2.4137931034482758E-2</v>
      </c>
      <c r="AV67" s="60">
        <f>Data!$P637</f>
        <v>2.4137931034482758E-2</v>
      </c>
      <c r="AW67" s="60">
        <f>Data!$P651</f>
        <v>2.4137931034482758E-2</v>
      </c>
      <c r="AX67" s="60">
        <f>Data!$P665</f>
        <v>2.4137931034482758E-2</v>
      </c>
      <c r="AY67" s="60">
        <f>Data!$P679</f>
        <v>2.3972602739726026E-2</v>
      </c>
      <c r="AZ67" s="60">
        <f>Data!$P693</f>
        <v>2.3972602739726026E-2</v>
      </c>
      <c r="BA67" s="60">
        <f>Data!$P707</f>
        <v>2.3972602739726026E-2</v>
      </c>
      <c r="BB67" s="60">
        <f>Data!$P721</f>
        <v>2.3972602739726026E-2</v>
      </c>
      <c r="BC67" s="60">
        <f>Data!$P735</f>
        <v>2.3972602739726026E-2</v>
      </c>
      <c r="BD67" s="60">
        <f>Data!$P749</f>
        <v>2.3809523809523808E-2</v>
      </c>
      <c r="BE67" s="60">
        <f>Data!$P763</f>
        <v>2.3809523809523808E-2</v>
      </c>
      <c r="BF67" s="60">
        <f>Data!$P777</f>
        <v>2.3809523809523808E-2</v>
      </c>
      <c r="BG67" s="60">
        <f>Data!$P791</f>
        <v>2.3728813559322035E-2</v>
      </c>
      <c r="BH67" s="60">
        <f>Data!$P805</f>
        <v>2.3569023569023569E-2</v>
      </c>
      <c r="BI67" s="60">
        <f>Data!$P819</f>
        <v>2.3489932885906041E-2</v>
      </c>
      <c r="BJ67" s="60">
        <f>Data!$P833</f>
        <v>2.3489932885906041E-2</v>
      </c>
      <c r="BK67" s="60">
        <f>Data!$P847</f>
        <v>2.3333333333333334E-2</v>
      </c>
      <c r="BL67" s="60">
        <f>Data!$P861</f>
        <v>2.3333333333333334E-2</v>
      </c>
    </row>
    <row r="68" spans="2:64" x14ac:dyDescent="0.3">
      <c r="B68" t="str">
        <f t="shared" si="9"/>
        <v>Sask</v>
      </c>
      <c r="C68" s="60">
        <f>Data!$P8</f>
        <v>0</v>
      </c>
      <c r="D68" s="60">
        <f>Data!$P22</f>
        <v>0</v>
      </c>
      <c r="E68" s="60">
        <f>Data!$P36</f>
        <v>1.1363636363636364E-2</v>
      </c>
      <c r="F68" s="60">
        <f>Data!$P50</f>
        <v>1.0869565217391304E-2</v>
      </c>
      <c r="G68" s="60">
        <f>Data!$P64</f>
        <v>1.5544041450777202E-2</v>
      </c>
      <c r="H68" s="60">
        <f>Data!$P78</f>
        <v>1.4563106796116505E-2</v>
      </c>
      <c r="I68" s="60">
        <f>Data!$P92</f>
        <v>1.3636363636363636E-2</v>
      </c>
      <c r="J68" s="60">
        <f>Data!$P106</f>
        <v>1.2987012987012988E-2</v>
      </c>
      <c r="K68" s="60">
        <f>Data!$P120</f>
        <v>1.1857707509881422E-2</v>
      </c>
      <c r="L68" s="60">
        <f>Data!$P134</f>
        <v>1.1538461538461539E-2</v>
      </c>
      <c r="M68" s="60">
        <f>Data!$P148</f>
        <v>1.107011070110701E-2</v>
      </c>
      <c r="N68" s="60">
        <f>Data!$P162</f>
        <v>1.0791366906474821E-2</v>
      </c>
      <c r="O68" s="60">
        <f>Data!$P176</f>
        <v>1.0526315789473684E-2</v>
      </c>
      <c r="P68" s="60">
        <f>Data!$P190</f>
        <v>1.384083044982699E-2</v>
      </c>
      <c r="Q68" s="60">
        <f>Data!$P204</f>
        <v>1.3333333333333334E-2</v>
      </c>
      <c r="R68" s="60">
        <f>Data!$P218</f>
        <v>1.3289036544850499E-2</v>
      </c>
      <c r="S68" s="60">
        <f>Data!$P232</f>
        <v>1.3157894736842105E-2</v>
      </c>
      <c r="T68" s="60">
        <f>Data!$P246</f>
        <v>1.3114754098360656E-2</v>
      </c>
      <c r="U68" s="60">
        <f>Data!$P260</f>
        <v>1.3029315960912053E-2</v>
      </c>
      <c r="V68" s="60">
        <f>Data!$P274</f>
        <v>1.2779552715654952E-2</v>
      </c>
      <c r="W68" s="60">
        <f>Data!$P288</f>
        <v>1.2658227848101266E-2</v>
      </c>
      <c r="X68" s="60">
        <f>Data!$P302</f>
        <v>1.2500000000000001E-2</v>
      </c>
      <c r="Y68" s="60">
        <f>Data!$P316</f>
        <v>1.2269938650306749E-2</v>
      </c>
      <c r="Z68" s="60">
        <f>Data!$P330</f>
        <v>1.2084592145015106E-2</v>
      </c>
      <c r="AA68" s="60">
        <f>Data!$P344</f>
        <v>1.1730205278592375E-2</v>
      </c>
      <c r="AB68" s="60">
        <f>Data!$P358</f>
        <v>1.1461318051575931E-2</v>
      </c>
      <c r="AC68" s="60">
        <f>Data!$P372</f>
        <v>1.3698630136986301E-2</v>
      </c>
      <c r="AD68" s="60">
        <f>Data!$P386</f>
        <v>1.3661202185792349E-2</v>
      </c>
      <c r="AE68" s="60">
        <f>Data!$P400</f>
        <v>1.5665796344647518E-2</v>
      </c>
      <c r="AF68" s="60">
        <f>Data!$P414</f>
        <v>1.5424164524421594E-2</v>
      </c>
      <c r="AG68" s="60">
        <f>Data!$P428</f>
        <v>1.4457831325301205E-2</v>
      </c>
      <c r="AH68" s="60">
        <f>Data!$P442</f>
        <v>1.4251781472684086E-2</v>
      </c>
      <c r="AI68" s="60">
        <f>Data!$P456</f>
        <v>1.284796573875803E-2</v>
      </c>
      <c r="AJ68" s="60">
        <f>Data!$P470</f>
        <v>1.2320328542094456E-2</v>
      </c>
      <c r="AK68" s="60">
        <f>Data!$P484</f>
        <v>1.171875E-2</v>
      </c>
      <c r="AL68" s="60">
        <f>Data!$P498</f>
        <v>1.1299435028248588E-2</v>
      </c>
      <c r="AM68" s="60">
        <f>Data!$P470</f>
        <v>1.2320328542094456E-2</v>
      </c>
      <c r="AN68" s="60">
        <f>Data!$P526</f>
        <v>1.0849909584086799E-2</v>
      </c>
      <c r="AO68" s="60">
        <f>Data!$P540</f>
        <v>1.0563380281690141E-2</v>
      </c>
      <c r="AP68" s="60">
        <f>Data!$P554</f>
        <v>1.0471204188481676E-2</v>
      </c>
      <c r="AQ68" s="60">
        <f>Data!$P568</f>
        <v>1.0398613518197574E-2</v>
      </c>
      <c r="AR68" s="60">
        <f>Data!$P582</f>
        <v>1.0309278350515464E-2</v>
      </c>
      <c r="AS68" s="60">
        <f>Data!$P596</f>
        <v>1.0169491525423728E-2</v>
      </c>
      <c r="AT68" s="60">
        <f>Data!$P610</f>
        <v>1.015228426395939E-2</v>
      </c>
      <c r="AU68" s="60">
        <f>Data!$P624</f>
        <v>1.0135135135135136E-2</v>
      </c>
      <c r="AV68" s="60">
        <f>Data!$P638</f>
        <v>1.001669449081803E-2</v>
      </c>
      <c r="AW68" s="60">
        <f>Data!$P652</f>
        <v>1.1290322580645161E-2</v>
      </c>
      <c r="AX68" s="60">
        <f>Data!$P666</f>
        <v>1.1254019292604502E-2</v>
      </c>
      <c r="AY68" s="60">
        <f>Data!$P680</f>
        <v>1.1164274322169059E-2</v>
      </c>
      <c r="AZ68" s="60">
        <f>Data!$P694</f>
        <v>1.1111111111111112E-2</v>
      </c>
      <c r="BA68" s="60">
        <f>Data!$P708</f>
        <v>1.1041009463722398E-2</v>
      </c>
      <c r="BB68" s="60">
        <f>Data!$P722</f>
        <v>1.2618296529968454E-2</v>
      </c>
      <c r="BC68" s="60">
        <f>Data!$P736</f>
        <v>1.5698587127158554E-2</v>
      </c>
      <c r="BD68" s="60">
        <f>Data!$P750</f>
        <v>1.5649452269170579E-2</v>
      </c>
      <c r="BE68" s="60">
        <f>Data!$P764</f>
        <v>1.5600624024960999E-2</v>
      </c>
      <c r="BF68" s="60">
        <f>Data!$P778</f>
        <v>1.5503875968992248E-2</v>
      </c>
      <c r="BG68" s="60">
        <f>Data!$P792</f>
        <v>1.7027863777089782E-2</v>
      </c>
      <c r="BH68" s="60">
        <f>Data!$P806</f>
        <v>1.7027863777089782E-2</v>
      </c>
      <c r="BI68" s="60">
        <f>Data!$P820</f>
        <v>1.7001545595054096E-2</v>
      </c>
      <c r="BJ68" s="60">
        <f>Data!$P834</f>
        <v>1.6975308641975308E-2</v>
      </c>
      <c r="BK68" s="60">
        <f>Data!$P848</f>
        <v>1.6949152542372881E-2</v>
      </c>
      <c r="BL68" s="60">
        <f>Data!$P862</f>
        <v>1.6923076923076923E-2</v>
      </c>
    </row>
    <row r="69" spans="2:64" x14ac:dyDescent="0.3">
      <c r="B69" t="str">
        <f t="shared" si="9"/>
        <v>Maritimes</v>
      </c>
      <c r="C69" s="60">
        <f>(Data!$P9+Data!$P10+Data!$P11)/(Data!$D21+Data!$D22+Data!$D23)</f>
        <v>0</v>
      </c>
      <c r="D69" s="60">
        <f>(Data!$P23+Data!$P24+Data!$P25)/(Data!$D21+Data!$D22+Data!$D23)</f>
        <v>0</v>
      </c>
      <c r="E69" s="60">
        <f>(Data!$P37+Data!$P38+Data!$P39)/(Data!$D21+Data!$D22+Data!$D23)</f>
        <v>0</v>
      </c>
      <c r="F69" s="60">
        <f>(Data!$P51+Data!$P52+Data!$P53)/(Data!$D21+Data!$D22+Data!$D23)</f>
        <v>0</v>
      </c>
      <c r="G69" s="60">
        <f>(Data!$P65+Data!$P66+Data!$P67)/(Data!$D21+Data!$D22+Data!$D23)</f>
        <v>0</v>
      </c>
      <c r="H69" s="60">
        <f>(Data!$P79+Data!$P80+Data!$P81)/(Data!$D21+Data!$D22+Data!$D23)</f>
        <v>0</v>
      </c>
      <c r="I69" s="60">
        <f>(Data!$P93+Data!$P94+Data!$P95)/(Data!$D21+Data!$D22+Data!$D23)</f>
        <v>0</v>
      </c>
      <c r="J69" s="60">
        <f>(Data!$P107+Data!$P108+Data!$P109)/(Data!$D21+Data!$D22+Data!$D23)</f>
        <v>0</v>
      </c>
      <c r="K69" s="60">
        <f>(Data!$P121+Data!$P122+Data!$P123)/(Data!$D21+Data!$D22+Data!$D23)</f>
        <v>0</v>
      </c>
      <c r="L69" s="60">
        <f>(Data!$P135+Data!$P136+Data!$P137)/(Data!$D21+Data!$D22+Data!$D23)</f>
        <v>9.2297752549725407E-4</v>
      </c>
      <c r="M69" s="60">
        <f>(Data!$P149+Data!$P150+Data!$P151)/(Data!$D21+Data!$D22+Data!$D23)</f>
        <v>8.366170552752888E-4</v>
      </c>
      <c r="N69" s="60">
        <f>(Data!$P163+Data!$P164+Data!$P165)/(Data!$D21+Data!$D22+Data!$D23)</f>
        <v>1.5341717581991892E-3</v>
      </c>
      <c r="O69" s="60">
        <f>(Data!$P177+Data!$P178+Data!$P179)/(Data!$D21+Data!$D22+Data!$D23)</f>
        <v>1.4060099897009767E-3</v>
      </c>
      <c r="P69" s="60">
        <f>(Data!$P191+Data!$P192+Data!$P193)/(Data!$D21+Data!$D22+Data!$D23)</f>
        <v>1.3370235182436857E-3</v>
      </c>
      <c r="Q69" s="60">
        <f>(Data!$P205+Data!$P206+Data!$P207)/(Data!$D21+Data!$D22+Data!$D23)</f>
        <v>1.8109052715452453E-3</v>
      </c>
      <c r="R69" s="60">
        <f>(Data!$P219+Data!$P220+Data!$P221)/(Data!$D21+Data!$D22+Data!$D23)</f>
        <v>1.6602883920937067E-3</v>
      </c>
      <c r="S69" s="60">
        <f>(Data!$P233+Data!$P234+Data!$P235)/(Data!$D21+Data!$D22+Data!$D23)</f>
        <v>1.5635138410062775E-3</v>
      </c>
      <c r="T69" s="60">
        <f>(Data!$P247+Data!$P248+Data!$P249)/(Data!$D21+Data!$D22+Data!$D23)</f>
        <v>1.4825027611613927E-3</v>
      </c>
      <c r="U69" s="60">
        <f>(Data!$P261+Data!$P262+Data!$P263)/(Data!$D21+Data!$D22+Data!$D23)</f>
        <v>1.8886008772551074E-3</v>
      </c>
      <c r="V69" s="60">
        <f>(Data!$P275+Data!$P276+Data!$P277)/(Data!$D21+Data!$D22+Data!$D23)</f>
        <v>3.0860727740046863E-3</v>
      </c>
      <c r="W69" s="60">
        <f>(Data!$P289+Data!$P290+Data!$P291)/(Data!$D21+Data!$D22+Data!$D23)</f>
        <v>3.571577387153036E-3</v>
      </c>
      <c r="X69" s="60">
        <f>(Data!$P303+Data!$P304+Data!$P305)/(Data!$D21+Data!$D22+Data!$D23)</f>
        <v>3.8822663894728464E-3</v>
      </c>
      <c r="Y69" s="60">
        <f>(Data!$P317+Data!$P318+Data!$P319)/(Data!$D21+Data!$D22+Data!$D23)</f>
        <v>4.4475082834841782E-3</v>
      </c>
      <c r="Z69" s="60">
        <f>(Data!$P331+Data!$P332+Data!$P333)/(Data!$D21+Data!$D22+Data!$D23)</f>
        <v>5.5356330428855864E-3</v>
      </c>
      <c r="AA69" s="60">
        <f>(Data!$P345+Data!$P346+Data!$P347)/(Data!$D21+Data!$D22+Data!$D23)</f>
        <v>5.3858453252545648E-3</v>
      </c>
      <c r="AB69" s="60">
        <f>(Data!$P359+Data!$P360+Data!$P361)/(Data!$D21+Data!$D22+Data!$D23)</f>
        <v>7.2771175998743044E-3</v>
      </c>
      <c r="AC69" s="60">
        <f>(Data!$P373+Data!$P374+Data!$P375)/(Data!$D21+Data!$D22+Data!$D23)</f>
        <v>7.6299475441106348E-3</v>
      </c>
      <c r="AD69" s="60">
        <f>(Data!$P387+Data!$P388+Data!$P389)/(Data!$D21+Data!$D22+Data!$D23)</f>
        <v>8.4429747414338993E-3</v>
      </c>
      <c r="AE69" s="60">
        <f>(Data!$P401+Data!$P402+Data!$P403)/(Data!$D21+Data!$D22+Data!$D23)</f>
        <v>8.5683902901777173E-3</v>
      </c>
      <c r="AF69" s="60">
        <f>(Data!$P415+Data!$P416+Data!$P417)/(Data!$D21+Data!$D22+Data!$D23)</f>
        <v>8.4598151228259411E-3</v>
      </c>
      <c r="AG69" s="60">
        <f>(Data!$P429+Data!$P430+Data!$P431)/(Data!$D21+Data!$D22+Data!$D23)</f>
        <v>8.6523127781233736E-3</v>
      </c>
      <c r="AH69" s="60">
        <f>(Data!$P443+Data!$P444+Data!$P445)/(Data!$D21+Data!$D22+Data!$D23)</f>
        <v>9.2106064590120589E-3</v>
      </c>
      <c r="AI69" s="60">
        <f>(Data!$P457+Data!$P458+Data!$P459)/(Data!$D21+Data!$D22+Data!$D23)</f>
        <v>1.1038248985134674E-2</v>
      </c>
      <c r="AJ69" s="60">
        <f>(Data!$P471+Data!$P472+Data!$P473)/(Data!$D21+Data!$D22+Data!$D23)</f>
        <v>1.1837582592401714E-2</v>
      </c>
      <c r="AK69" s="60">
        <f>(Data!$P485+Data!$P486+Data!$P487)/(Data!$D21+Data!$D22+Data!$D23)</f>
        <v>1.1754553455982064E-2</v>
      </c>
      <c r="AL69" s="60">
        <f>(Data!$P499+Data!$P500+Data!$P501)/(Data!$D21+Data!$D22+Data!$D23)</f>
        <v>1.2501900146755259E-2</v>
      </c>
      <c r="AM69" s="60">
        <f>(Data!$P513+Data!$P514+Data!$P515)/(Data!$D21+Data!$D22+Data!$D23)</f>
        <v>1.3057201898403615E-2</v>
      </c>
      <c r="AN69" s="60">
        <f>(Data!$P527+Data!$P528+Data!$P529)/(Data!$D21+Data!$D22+Data!$D23)</f>
        <v>1.3301466415919873E-2</v>
      </c>
      <c r="AO69" s="60">
        <f>(Data!$P541+Data!$P542+Data!$P543)/(Data!$D21+Data!$D22+Data!$D23)</f>
        <v>1.3477826868890227E-2</v>
      </c>
      <c r="AP69" s="60">
        <f>(Data!$P555+Data!$P556+Data!$P557)/(Data!$D21+Data!$D22+Data!$D23)</f>
        <v>1.3464613313136413E-2</v>
      </c>
      <c r="AQ69" s="60">
        <f>(Data!$P569+Data!$P570+Data!$P571)/(Data!$D21+Data!$D22+Data!$D23)</f>
        <v>1.4250268240343348E-2</v>
      </c>
      <c r="AR69" s="60">
        <f>(Data!$P583+Data!$P584+Data!$P585)/(Data!$D21+Data!$D22+Data!$D23)</f>
        <v>1.422248993967991E-2</v>
      </c>
      <c r="AS69" s="60">
        <f>(Data!$P597+Data!$P598+Data!$P599)/(Data!$D21+Data!$D22+Data!$D23)</f>
        <v>1.5219310260858978E-2</v>
      </c>
      <c r="AT69" s="60">
        <f>(Data!$P611+Data!$P612+Data!$P613)/(Data!$D21+Data!$D22+Data!$D23)</f>
        <v>1.5175281398002106E-2</v>
      </c>
      <c r="AU69" s="60">
        <f>(Data!$P625+Data!$P626+Data!$P627)/(Data!$D21+Data!$D22+Data!$D23)</f>
        <v>1.5087983518435457E-2</v>
      </c>
      <c r="AV69" s="60">
        <f>(Data!$P639+Data!$P640+Data!$P641)/(Data!$D21+Data!$D22+Data!$D23)</f>
        <v>1.5347595634705299E-2</v>
      </c>
      <c r="AW69" s="60">
        <f>(Data!$P653+Data!$P654+Data!$P655)/(Data!$D21+Data!$D22+Data!$D23)</f>
        <v>1.5606710885680842E-2</v>
      </c>
      <c r="AX69" s="60">
        <f>(Data!$P667+Data!$P668+Data!$P669)/(Data!$D21+Data!$D22+Data!$D23)</f>
        <v>1.5865330696405954E-2</v>
      </c>
      <c r="AY69" s="60">
        <f>(Data!$P681+Data!$P682+Data!$P683)/(Data!$D21+Data!$D22+Data!$D23)</f>
        <v>1.5835053347748693E-2</v>
      </c>
      <c r="AZ69" s="60">
        <f>(Data!$P695+Data!$P696+Data!$P697)/(Data!$D21+Data!$D22+Data!$D23)</f>
        <v>1.5819957968008228E-2</v>
      </c>
      <c r="BA69" s="60">
        <f>(Data!$P709+Data!$P710+Data!$P711)/(Data!$D21+Data!$D22+Data!$D23)</f>
        <v>1.5789853385766536E-2</v>
      </c>
      <c r="BB69" s="60">
        <f>(Data!$P723+Data!$P724+Data!$P725)/(Data!$D21+Data!$D22+Data!$D23)</f>
        <v>1.6046824088730777E-2</v>
      </c>
      <c r="BC69" s="60">
        <f>(Data!$P737+Data!$P738+Data!$P739)/(Data!$D21+Data!$D22+Data!$D23)</f>
        <v>1.6031584939548697E-2</v>
      </c>
      <c r="BD69" s="60">
        <f>(Data!$P751+Data!$P752+Data!$P753)/(Data!$D21+Data!$D22+Data!$D23)</f>
        <v>1.6001193309331543E-2</v>
      </c>
      <c r="BE69" s="60">
        <f>(Data!$P765+Data!$P766+Data!$P767)/(Data!$D21+Data!$D22+Data!$D23)</f>
        <v>1.6001193309331543E-2</v>
      </c>
      <c r="BF69" s="60">
        <f>(Data!$P779+Data!$P780+Data!$P781)/(Data!$D21+Data!$D22+Data!$D23)</f>
        <v>1.6256990505917543E-2</v>
      </c>
      <c r="BG69" s="60">
        <f>(Data!$P793+Data!$P794+Data!$P795)/(Data!$D21+Data!$D22+Data!$D23)</f>
        <v>1.6241610193234557E-2</v>
      </c>
      <c r="BH69" s="60">
        <f>(Data!$P807+Data!$P808+Data!$P809)/(Data!$D21+Data!$D22+Data!$D23)</f>
        <v>1.6241610193234557E-2</v>
      </c>
      <c r="BI69" s="60">
        <f>(Data!$P821+Data!$P822+Data!$P823)/(Data!$D21+Data!$D22+Data!$D23)</f>
        <v>1.6226258954866662E-2</v>
      </c>
      <c r="BJ69" s="60">
        <f>(Data!$P835+Data!$P836+Data!$P837)/(Data!$D21+Data!$D22+Data!$D23)</f>
        <v>1.8600542434292003E-2</v>
      </c>
      <c r="BK69" s="60">
        <f>(Data!$P849+Data!$P850+Data!$P851)/(Data!$D21+Data!$D22+Data!$D23)</f>
        <v>1.8600542434292003E-2</v>
      </c>
      <c r="BL69" s="60">
        <f>(Data!$P863+Data!$P864+Data!$P865)/(Data!$D21+Data!$D22+Data!$D23)</f>
        <v>1.856941659164273E-2</v>
      </c>
    </row>
    <row r="70" spans="2:64" x14ac:dyDescent="0.3">
      <c r="B70" t="str">
        <f t="shared" si="9"/>
        <v>NFLD</v>
      </c>
      <c r="C70" s="60">
        <f>Data!P12</f>
        <v>0</v>
      </c>
      <c r="D70" s="60">
        <f>Data!P26</f>
        <v>0</v>
      </c>
      <c r="E70" s="60">
        <f>Data!P40</f>
        <v>6.7567567567567571E-3</v>
      </c>
      <c r="F70" s="60">
        <f>Data!$P54</f>
        <v>6.5789473684210523E-3</v>
      </c>
      <c r="G70" s="60">
        <f>Data!$P68</f>
        <v>5.7142857142857143E-3</v>
      </c>
      <c r="H70" s="60">
        <f>Data!$P82</f>
        <v>5.4644808743169399E-3</v>
      </c>
      <c r="I70" s="60">
        <f>Data!$P96</f>
        <v>5.1282051282051282E-3</v>
      </c>
      <c r="J70" s="60">
        <f>Data!$P110</f>
        <v>4.9261083743842365E-3</v>
      </c>
      <c r="K70" s="60">
        <f>Data!$P124</f>
        <v>8.8495575221238937E-3</v>
      </c>
      <c r="L70" s="60">
        <f>Data!$P138</f>
        <v>8.771929824561403E-3</v>
      </c>
      <c r="M70" s="60">
        <f>Data!$P152</f>
        <v>8.6206896551724137E-3</v>
      </c>
      <c r="N70" s="60">
        <f>Data!$P166</f>
        <v>8.4745762711864406E-3</v>
      </c>
      <c r="O70" s="60">
        <f>Data!$P180</f>
        <v>8.368200836820083E-3</v>
      </c>
      <c r="P70" s="60">
        <f>Data!$P194</f>
        <v>8.2987551867219917E-3</v>
      </c>
      <c r="Q70" s="60">
        <f>Data!$P208</f>
        <v>8.2987551867219917E-3</v>
      </c>
      <c r="R70" s="60">
        <f>Data!$P222</f>
        <v>1.2295081967213115E-2</v>
      </c>
      <c r="S70" s="60">
        <f>Data!$P236</f>
        <v>1.2145748987854251E-2</v>
      </c>
      <c r="T70" s="60">
        <f>Data!$P250</f>
        <v>1.1904761904761904E-2</v>
      </c>
      <c r="U70" s="60">
        <f>Data!$P264</f>
        <v>1.171875E-2</v>
      </c>
      <c r="V70" s="60">
        <f>Data!$P278</f>
        <v>1.171875E-2</v>
      </c>
      <c r="W70" s="60">
        <f>Data!$P292</f>
        <v>1.171875E-2</v>
      </c>
      <c r="X70" s="60">
        <f>Data!$P306</f>
        <v>1.171875E-2</v>
      </c>
      <c r="Y70" s="60">
        <f>Data!$P320</f>
        <v>1.171875E-2</v>
      </c>
      <c r="Z70" s="60">
        <f>Data!$P334</f>
        <v>1.171875E-2</v>
      </c>
      <c r="AA70" s="60">
        <f>Data!$P348</f>
        <v>1.171875E-2</v>
      </c>
      <c r="AB70" s="60">
        <f>Data!$P362</f>
        <v>1.1673151750972763E-2</v>
      </c>
      <c r="AC70" s="60">
        <f>Data!$P376</f>
        <v>1.1673151750972763E-2</v>
      </c>
      <c r="AD70" s="60">
        <f>Data!$P390</f>
        <v>1.1627906976744186E-2</v>
      </c>
      <c r="AE70" s="60">
        <f>Data!$P404</f>
        <v>1.1627906976744186E-2</v>
      </c>
      <c r="AF70" s="60">
        <f>Data!$P418</f>
        <v>1.1627906976744186E-2</v>
      </c>
      <c r="AG70" s="60">
        <f>Data!$P432</f>
        <v>1.1583011583011582E-2</v>
      </c>
      <c r="AH70" s="60">
        <f>Data!$P446</f>
        <v>1.1583011583011582E-2</v>
      </c>
      <c r="AI70" s="60">
        <f>Data!$P460</f>
        <v>1.1583011583011582E-2</v>
      </c>
      <c r="AJ70" s="60">
        <f>Data!$P474</f>
        <v>1.1583011583011582E-2</v>
      </c>
      <c r="AK70" s="60">
        <f>Data!$P488</f>
        <v>1.1583011583011582E-2</v>
      </c>
      <c r="AL70" s="60">
        <f>Data!$P502</f>
        <v>1.1494252873563218E-2</v>
      </c>
      <c r="AM70" s="60">
        <f>Data!$P516</f>
        <v>1.1494252873563218E-2</v>
      </c>
      <c r="AN70" s="60">
        <f>Data!$P530</f>
        <v>1.1494252873563218E-2</v>
      </c>
      <c r="AO70" s="60">
        <f>Data!$P544</f>
        <v>1.1494252873563218E-2</v>
      </c>
      <c r="AP70" s="60">
        <f>Data!$P558</f>
        <v>1.1494252873563218E-2</v>
      </c>
      <c r="AQ70" s="60">
        <f>Data!$P572</f>
        <v>1.1494252873563218E-2</v>
      </c>
      <c r="AR70" s="60">
        <f>Data!$P586</f>
        <v>1.1494252873563218E-2</v>
      </c>
      <c r="AS70" s="60">
        <f>Data!$P600</f>
        <v>1.1538461538461539E-2</v>
      </c>
      <c r="AT70" s="60">
        <f>Data!$P614</f>
        <v>1.1538461538461539E-2</v>
      </c>
      <c r="AU70" s="60">
        <f>Data!$P628</f>
        <v>1.1538461538461539E-2</v>
      </c>
      <c r="AV70" s="60">
        <f>Data!$P642</f>
        <v>1.1538461538461539E-2</v>
      </c>
      <c r="AW70" s="60">
        <f>Data!$P656</f>
        <v>1.1538461538461539E-2</v>
      </c>
      <c r="AX70" s="60">
        <f>Data!$P670</f>
        <v>1.1538461538461539E-2</v>
      </c>
      <c r="AY70" s="60">
        <f>Data!$P684</f>
        <v>1.1538461538461539E-2</v>
      </c>
      <c r="AZ70" s="60">
        <f>Data!$P698</f>
        <v>1.1538461538461539E-2</v>
      </c>
      <c r="BA70" s="60">
        <f>Data!$P712</f>
        <v>1.1538461538461539E-2</v>
      </c>
      <c r="BB70" s="60">
        <f>Data!$P726</f>
        <v>1.1538461538461539E-2</v>
      </c>
      <c r="BC70" s="60">
        <f>Data!$P740</f>
        <v>1.1538461538461539E-2</v>
      </c>
      <c r="BD70" s="60">
        <f>Data!$P754</f>
        <v>1.1494252873563218E-2</v>
      </c>
      <c r="BE70" s="60">
        <f>Data!$P768</f>
        <v>1.1494252873563218E-2</v>
      </c>
      <c r="BF70" s="60">
        <f>Data!$P782</f>
        <v>1.1494252873563218E-2</v>
      </c>
      <c r="BG70" s="60">
        <f>Data!$P796</f>
        <v>1.1494252873563218E-2</v>
      </c>
      <c r="BH70" s="60">
        <f>Data!$P810</f>
        <v>1.1494252873563218E-2</v>
      </c>
      <c r="BI70" s="60">
        <f>Data!$P824</f>
        <v>1.1494252873563218E-2</v>
      </c>
      <c r="BJ70" s="60">
        <f>Data!$P838</f>
        <v>1.1494252873563218E-2</v>
      </c>
      <c r="BK70" s="60">
        <f>Data!$P852</f>
        <v>1.1494252873563218E-2</v>
      </c>
      <c r="BL70" s="60">
        <f>Data!$P866</f>
        <v>1.1494252873563218E-2</v>
      </c>
    </row>
    <row r="71" spans="2:64" x14ac:dyDescent="0.3">
      <c r="B71" t="str">
        <f t="shared" si="9"/>
        <v>Canada</v>
      </c>
      <c r="C71" s="60">
        <f>Data!P13</f>
        <v>1.1610724086974878E-2</v>
      </c>
      <c r="D71" s="60">
        <f>Data!P27</f>
        <v>1.0717931269139162E-2</v>
      </c>
      <c r="E71" s="60">
        <f>Data!P41</f>
        <v>1.194951664876477E-2</v>
      </c>
      <c r="F71" s="60">
        <f>Data!$P55</f>
        <v>1.1756489349319055E-2</v>
      </c>
      <c r="G71" s="60">
        <f>Data!$P69</f>
        <v>1.1405672009864365E-2</v>
      </c>
      <c r="H71" s="60">
        <f>Data!$P83</f>
        <v>1.2230789683594789E-2</v>
      </c>
      <c r="I71" s="60">
        <f>Data!$P97</f>
        <v>1.4627873332261693E-2</v>
      </c>
      <c r="J71" s="60">
        <f>Data!$P111</f>
        <v>1.662148666000856E-2</v>
      </c>
      <c r="K71" s="60">
        <f>Data!$P125</f>
        <v>1.9446793090953013E-2</v>
      </c>
      <c r="L71" s="60">
        <f>Data!$P139</f>
        <v>2.1288484103481029E-2</v>
      </c>
      <c r="M71" s="60">
        <f>Data!$P153</f>
        <v>2.2550544323483669E-2</v>
      </c>
      <c r="N71" s="60">
        <f>Data!$P167</f>
        <v>2.4512400674211413E-2</v>
      </c>
      <c r="O71" s="60">
        <f>Data!$P181</f>
        <v>2.5690807296369876E-2</v>
      </c>
      <c r="P71" s="60">
        <f>Data!$P195</f>
        <v>2.8004116991165624E-2</v>
      </c>
      <c r="Q71" s="60">
        <f>Data!$P209</f>
        <v>3.0373831775700934E-2</v>
      </c>
      <c r="R71" s="60">
        <f>Data!$P223</f>
        <v>3.325573661456601E-2</v>
      </c>
      <c r="S71" s="60">
        <f>Data!$P237</f>
        <v>3.5567137373666236E-2</v>
      </c>
      <c r="T71" s="60">
        <f>Data!$P251</f>
        <v>3.9726300405234838E-2</v>
      </c>
      <c r="U71" s="60">
        <f>Data!$P265</f>
        <v>4.1031102201898081E-2</v>
      </c>
      <c r="V71" s="60">
        <f>Data!$P279</f>
        <v>4.4034388760746487E-2</v>
      </c>
      <c r="W71" s="60">
        <f>Data!$P293</f>
        <v>4.5885259699709482E-2</v>
      </c>
      <c r="X71" s="60">
        <f>Data!$P307</f>
        <v>4.7708235783778162E-2</v>
      </c>
      <c r="Y71" s="60">
        <f>Data!$P321</f>
        <v>4.9116695695446626E-2</v>
      </c>
      <c r="Z71" s="60">
        <f>Data!$P335</f>
        <v>5.098551412966041E-2</v>
      </c>
      <c r="AA71" s="60">
        <f>Data!$P349</f>
        <v>5.2451695224207069E-2</v>
      </c>
      <c r="AB71" s="60">
        <f>Data!$P363</f>
        <v>5.436101003418238E-2</v>
      </c>
      <c r="AC71" s="60">
        <f>Data!$P377</f>
        <v>5.5814432989690722E-2</v>
      </c>
      <c r="AD71" s="60">
        <f>Data!$P391</f>
        <v>5.7150281853436215E-2</v>
      </c>
      <c r="AE71" s="60">
        <f>Data!$P405</f>
        <v>5.8065391398724735E-2</v>
      </c>
      <c r="AF71" s="60">
        <f>Data!$P419</f>
        <v>5.9809151701855884E-2</v>
      </c>
      <c r="AG71" s="60">
        <f>Data!$P433</f>
        <v>6.1586240714843539E-2</v>
      </c>
      <c r="AH71" s="60">
        <f>Data!$P447</f>
        <v>6.2876891067461291E-2</v>
      </c>
      <c r="AI71" s="60">
        <f>Data!$P461</f>
        <v>6.3417363259395773E-2</v>
      </c>
      <c r="AJ71" s="60">
        <f>Data!$P475</f>
        <v>6.516133191503079E-2</v>
      </c>
      <c r="AK71" s="60">
        <f>Data!$P489</f>
        <v>6.6723425724466309E-2</v>
      </c>
      <c r="AL71" s="60">
        <f>Data!$P503</f>
        <v>6.7926274388833197E-2</v>
      </c>
      <c r="AM71" s="60">
        <f>Data!$P517</f>
        <v>6.8775024836680007E-2</v>
      </c>
      <c r="AN71" s="60">
        <f>Data!$P531</f>
        <v>6.9318483944344339E-2</v>
      </c>
      <c r="AO71" s="60">
        <f>Data!$P545</f>
        <v>7.1347937297266406E-2</v>
      </c>
      <c r="AP71" s="60">
        <f>Data!$P559</f>
        <v>7.2642185589611705E-2</v>
      </c>
      <c r="AQ71" s="60">
        <f>Data!$P573</f>
        <v>7.3382310214585147E-2</v>
      </c>
      <c r="AR71" s="60">
        <f>Data!$P587</f>
        <v>7.4461136512083609E-2</v>
      </c>
      <c r="AS71" s="60">
        <f>Data!$P601</f>
        <v>7.4556641331885637E-2</v>
      </c>
      <c r="AT71" s="60">
        <f>Data!$P615</f>
        <v>7.4857639987345778E-2</v>
      </c>
      <c r="AU71" s="60">
        <f>Data!$P629</f>
        <v>7.4828363561840347E-2</v>
      </c>
      <c r="AV71" s="60">
        <f>Data!$P643</f>
        <v>7.4729497421377286E-2</v>
      </c>
      <c r="AW71" s="60">
        <f>Data!$P657</f>
        <v>7.5253924284395202E-2</v>
      </c>
      <c r="AX71" s="60">
        <f>Data!$P671</f>
        <v>7.564802518321774E-2</v>
      </c>
      <c r="AY71" s="60">
        <f>Data!$P685</f>
        <v>7.5775945683802137E-2</v>
      </c>
      <c r="AZ71" s="60">
        <f>Data!$P699</f>
        <v>7.5989950951070709E-2</v>
      </c>
      <c r="BA71" s="60">
        <f>Data!$P713</f>
        <v>7.6362151440905385E-2</v>
      </c>
      <c r="BB71" s="60">
        <f>Data!$P727</f>
        <v>7.662123327985966E-2</v>
      </c>
      <c r="BC71" s="60">
        <f>Data!$P741</f>
        <v>7.7297501114043807E-2</v>
      </c>
      <c r="BD71" s="60">
        <f>Data!$P755</f>
        <v>7.7695679681851051E-2</v>
      </c>
      <c r="BE71" s="60">
        <f>Data!$P769</f>
        <v>7.8049162361045879E-2</v>
      </c>
      <c r="BF71" s="60">
        <f>Data!$P783</f>
        <v>7.8423328528661712E-2</v>
      </c>
      <c r="BG71" s="60">
        <f>Data!$P797</f>
        <v>7.988659287934137E-2</v>
      </c>
      <c r="BH71" s="60">
        <f>Data!$P811</f>
        <v>8.0023806947300075E-2</v>
      </c>
      <c r="BI71" s="60">
        <f>Data!$P825</f>
        <v>8.0550034914325622E-2</v>
      </c>
      <c r="BJ71" s="60">
        <f>Data!$P839</f>
        <v>8.1482192774683646E-2</v>
      </c>
      <c r="BK71" s="60">
        <f>Data!$P853</f>
        <v>8.1655801134255579E-2</v>
      </c>
      <c r="BL71" s="60">
        <f>Data!$P867</f>
        <v>8.1771989437916193E-2</v>
      </c>
    </row>
    <row r="72" spans="2:64" x14ac:dyDescent="0.3">
      <c r="B72" t="str">
        <f t="shared" si="9"/>
        <v>USA</v>
      </c>
      <c r="C72" s="60">
        <f>Data!P14</f>
        <v>1.5390341303451259E-2</v>
      </c>
      <c r="D72" s="60">
        <f>Data!P28</f>
        <v>1.6619584890978905E-2</v>
      </c>
      <c r="E72" s="60">
        <f>Data!P42</f>
        <v>1.8308104404161217E-2</v>
      </c>
      <c r="F72" s="60">
        <f>Data!$P56</f>
        <v>2.0273853980624559E-2</v>
      </c>
      <c r="G72" s="60">
        <f>Data!$P70</f>
        <v>2.2299188689092374E-2</v>
      </c>
      <c r="H72" s="60">
        <f>Data!$P84</f>
        <v>2.4199925525817019E-2</v>
      </c>
      <c r="I72" s="60">
        <f>Data!$P98</f>
        <v>2.5498835023335824E-2</v>
      </c>
      <c r="J72" s="60">
        <f>Data!$P112</f>
        <v>2.7107995224799983E-2</v>
      </c>
      <c r="K72" s="60">
        <f>Data!$P126</f>
        <v>2.9465525060813874E-2</v>
      </c>
      <c r="L72" s="60">
        <f>Data!$P140</f>
        <v>3.2070399675390548E-2</v>
      </c>
      <c r="M72" s="60">
        <f>Data!$P154</f>
        <v>3.4277352724256638E-2</v>
      </c>
      <c r="N72" s="60">
        <f>Data!$P168</f>
        <v>3.5823187356316823E-2</v>
      </c>
      <c r="O72" s="60">
        <f>Data!$P182</f>
        <v>3.7391378706561659E-2</v>
      </c>
      <c r="P72" s="60">
        <f>Data!$P196</f>
        <v>3.887430977505691E-2</v>
      </c>
      <c r="Q72" s="60">
        <f>Data!$P210</f>
        <v>4.0516736191298496E-2</v>
      </c>
      <c r="R72" s="60">
        <f>Data!$P224</f>
        <v>4.2604398869326925E-2</v>
      </c>
      <c r="S72" s="60">
        <f>Data!$P238</f>
        <v>4.4510760982271566E-2</v>
      </c>
      <c r="T72" s="60">
        <f>Data!$P252</f>
        <v>4.891445285408437E-2</v>
      </c>
      <c r="U72" s="60">
        <f>Data!$P266</f>
        <v>5.2663710188331513E-2</v>
      </c>
      <c r="V72" s="60">
        <f>Data!$P280</f>
        <v>5.4022393247131609E-2</v>
      </c>
      <c r="W72" s="60">
        <f>Data!$P294</f>
        <v>5.5032594456612349E-2</v>
      </c>
      <c r="X72" s="60">
        <f>Data!$P308</f>
        <v>5.595979577775638E-2</v>
      </c>
      <c r="Y72" s="60">
        <f>Data!$P322</f>
        <v>5.7356312943202377E-2</v>
      </c>
      <c r="Z72" s="60">
        <f>Data!$P336</f>
        <v>5.7776050309664179E-2</v>
      </c>
      <c r="AA72" s="60">
        <f>Data!$P350</f>
        <v>5.740691680436813E-2</v>
      </c>
      <c r="AB72" s="60">
        <f>Data!$P364</f>
        <v>5.8199480392430294E-2</v>
      </c>
      <c r="AC72" s="60">
        <f>Data!$P378</f>
        <v>5.7406022011264518E-2</v>
      </c>
      <c r="AD72" s="60">
        <f>Data!$P392</f>
        <v>5.803745455413329E-2</v>
      </c>
      <c r="AE72" s="60">
        <f>Data!$P406</f>
        <v>5.7783694211434575E-2</v>
      </c>
      <c r="AF72" s="60">
        <f>Data!$P420</f>
        <v>5.8039063151168281E-2</v>
      </c>
      <c r="AG72" s="60">
        <f>Data!$P434</f>
        <v>5.8279060888798473E-2</v>
      </c>
      <c r="AH72" s="60">
        <f>Data!$P448</f>
        <v>5.8074610701119821E-2</v>
      </c>
      <c r="AI72" s="60">
        <f>Data!$P462</f>
        <v>5.7450113949544204E-2</v>
      </c>
      <c r="AJ72" s="60">
        <f>Data!$P476</f>
        <v>5.8186241300230798E-2</v>
      </c>
      <c r="AK72" s="60">
        <f>Data!$P490</f>
        <v>5.896692990643785E-2</v>
      </c>
      <c r="AL72" s="60">
        <f>Data!$P504</f>
        <v>5.9567702504013616E-2</v>
      </c>
      <c r="AM72" s="60">
        <f>Data!$P518</f>
        <v>5.9497325877279864E-2</v>
      </c>
      <c r="AN72" s="60">
        <f>Data!$P532</f>
        <v>5.9507644243453166E-2</v>
      </c>
      <c r="AO72" s="60">
        <f>Data!$P546</f>
        <v>5.9008771446868565E-2</v>
      </c>
      <c r="AP72" s="60">
        <f>Data!$P560</f>
        <v>5.9275819650211267E-2</v>
      </c>
      <c r="AQ72" s="60">
        <f>Data!$P574</f>
        <v>5.9154386898043546E-2</v>
      </c>
      <c r="AR72" s="60">
        <f>Data!$P588</f>
        <v>5.9688291407111044E-2</v>
      </c>
      <c r="AS72" s="60">
        <f>Data!$P602</f>
        <v>5.9645132986982694E-2</v>
      </c>
      <c r="AT72" s="60">
        <f>Data!$P616</f>
        <v>5.9517381650649293E-2</v>
      </c>
      <c r="AU72" s="60">
        <f>Data!$P630</f>
        <v>5.9364894203039434E-2</v>
      </c>
      <c r="AV72" s="60">
        <f>Data!$P644</f>
        <v>5.9578995364389389E-2</v>
      </c>
      <c r="AW72" s="60">
        <f>Data!$P658</f>
        <v>5.9611103071146941E-2</v>
      </c>
      <c r="AX72" s="60">
        <f>Data!$P672</f>
        <v>5.9578270661349131E-2</v>
      </c>
      <c r="AY72" s="60">
        <f>Data!$P686</f>
        <v>5.9412524792621324E-2</v>
      </c>
      <c r="AZ72" s="60">
        <f>Data!$P700</f>
        <v>5.9276821691374625E-2</v>
      </c>
      <c r="BA72" s="60">
        <f>Data!$P714</f>
        <v>5.8618992426527794E-2</v>
      </c>
      <c r="BB72" s="60">
        <f>Data!$P728</f>
        <v>5.8379018510065488E-2</v>
      </c>
      <c r="BC72" s="60">
        <f>Data!$P742</f>
        <v>5.8477938542857814E-2</v>
      </c>
      <c r="BD72" s="60">
        <f>Data!$P756</f>
        <v>5.8489359478787105E-2</v>
      </c>
      <c r="BE72" s="60">
        <f>Data!$P770</f>
        <v>5.8302484273137917E-2</v>
      </c>
      <c r="BF72" s="60">
        <f>Data!$P784</f>
        <v>5.8142368161513025E-2</v>
      </c>
      <c r="BG72" s="60">
        <f>Data!$P798</f>
        <v>5.7633355097351152E-2</v>
      </c>
      <c r="BH72" s="60">
        <f>Data!$P812</f>
        <v>5.754537217920469E-2</v>
      </c>
      <c r="BI72" s="60">
        <f>Data!$P826</f>
        <v>5.7395638537229891E-2</v>
      </c>
      <c r="BJ72" s="60">
        <f>Data!$P840</f>
        <v>5.735103253759221E-2</v>
      </c>
      <c r="BK72" s="60">
        <f>Data!$P854</f>
        <v>5.702151996232354E-2</v>
      </c>
      <c r="BL72" s="60">
        <f>Data!$P868</f>
        <v>5.6485498159990273E-2</v>
      </c>
    </row>
    <row r="74" spans="2:64" x14ac:dyDescent="0.3">
      <c r="B74" t="s">
        <v>45</v>
      </c>
      <c r="C74" s="29">
        <v>43917</v>
      </c>
      <c r="D74" s="29">
        <v>43918</v>
      </c>
      <c r="E74" s="29">
        <v>43920</v>
      </c>
      <c r="F74" s="29" t="s">
        <v>46</v>
      </c>
      <c r="G74" s="29">
        <v>43922</v>
      </c>
      <c r="H74" s="29">
        <v>43923</v>
      </c>
      <c r="I74" s="29">
        <v>43924</v>
      </c>
      <c r="J74" s="29">
        <v>43925</v>
      </c>
      <c r="K74" s="29">
        <v>43927</v>
      </c>
      <c r="L74" s="29">
        <v>43928</v>
      </c>
      <c r="M74" s="29">
        <v>43929</v>
      </c>
      <c r="N74" s="29">
        <v>43930</v>
      </c>
      <c r="O74" s="29">
        <v>43931</v>
      </c>
      <c r="P74" s="29">
        <v>43932</v>
      </c>
      <c r="Q74" s="29">
        <v>43934</v>
      </c>
      <c r="R74" s="29">
        <v>43935</v>
      </c>
      <c r="S74" s="29">
        <v>43936</v>
      </c>
      <c r="T74" s="29">
        <v>43937</v>
      </c>
      <c r="U74" s="29">
        <v>43938</v>
      </c>
      <c r="V74" s="29">
        <v>43939</v>
      </c>
      <c r="W74" s="29">
        <v>43941</v>
      </c>
      <c r="X74" s="29">
        <v>43942</v>
      </c>
      <c r="Y74" s="29">
        <v>43943</v>
      </c>
      <c r="Z74" s="29">
        <v>43944</v>
      </c>
      <c r="AA74" s="29">
        <v>43945</v>
      </c>
      <c r="AB74" s="29">
        <v>43946</v>
      </c>
      <c r="AC74" s="29">
        <v>43948</v>
      </c>
      <c r="AD74" s="29">
        <v>43949</v>
      </c>
      <c r="AE74" s="29">
        <v>43950</v>
      </c>
      <c r="AF74" s="29">
        <v>43951</v>
      </c>
      <c r="AG74" s="29">
        <v>43952</v>
      </c>
      <c r="AH74" s="29">
        <v>43953</v>
      </c>
      <c r="AI74" s="29">
        <v>43955</v>
      </c>
      <c r="AJ74" s="29">
        <v>43956</v>
      </c>
      <c r="AK74" s="29">
        <v>43957</v>
      </c>
      <c r="AL74" s="29">
        <v>43958</v>
      </c>
      <c r="AM74" s="29">
        <v>43959</v>
      </c>
      <c r="AN74" s="29">
        <v>43960</v>
      </c>
      <c r="AO74" s="29">
        <v>43962</v>
      </c>
      <c r="AP74" s="29">
        <v>43963</v>
      </c>
      <c r="AQ74" s="29">
        <v>43964</v>
      </c>
      <c r="AR74" s="29">
        <v>43965</v>
      </c>
      <c r="AS74" s="29">
        <v>43966</v>
      </c>
      <c r="AT74" s="29">
        <v>43967</v>
      </c>
      <c r="AU74" s="29">
        <v>43969</v>
      </c>
      <c r="AV74" s="29">
        <v>43970</v>
      </c>
      <c r="AW74" s="29">
        <v>43971</v>
      </c>
      <c r="AX74" s="29">
        <v>43972</v>
      </c>
      <c r="AY74" s="29">
        <v>43973</v>
      </c>
      <c r="AZ74" s="29">
        <v>43974</v>
      </c>
      <c r="BA74" s="29">
        <v>43976</v>
      </c>
      <c r="BB74" s="29">
        <v>43977</v>
      </c>
      <c r="BC74" s="29">
        <v>43978</v>
      </c>
      <c r="BD74" s="29">
        <v>43979</v>
      </c>
      <c r="BE74" s="29">
        <v>43980</v>
      </c>
      <c r="BF74" s="29">
        <v>43981</v>
      </c>
      <c r="BG74" s="29">
        <v>43983</v>
      </c>
      <c r="BH74" s="29">
        <v>43984</v>
      </c>
      <c r="BI74" s="29">
        <v>43985</v>
      </c>
      <c r="BJ74" s="29">
        <v>43986</v>
      </c>
      <c r="BK74" s="29">
        <v>43987</v>
      </c>
      <c r="BL74" s="29">
        <v>43988</v>
      </c>
    </row>
    <row r="75" spans="2:64" x14ac:dyDescent="0.3">
      <c r="B75" t="str">
        <f>B63</f>
        <v>Ontario</v>
      </c>
      <c r="C75" s="42">
        <f>Data!$S3</f>
        <v>0</v>
      </c>
      <c r="D75" s="42">
        <f>Data!$S17</f>
        <v>25.051903114186853</v>
      </c>
      <c r="E75" s="42">
        <f>Data!$S31</f>
        <v>12.145328719723183</v>
      </c>
      <c r="F75" s="42">
        <f>Data!$S45</f>
        <v>17.993079584775089</v>
      </c>
      <c r="G75" s="42">
        <f>Data!$S59</f>
        <v>29.48096885813149</v>
      </c>
      <c r="H75" s="42">
        <f>Data!$S73</f>
        <v>27.750865051903116</v>
      </c>
      <c r="I75" s="42">
        <f>Data!$S87</f>
        <v>31.972318339100347</v>
      </c>
      <c r="J75" s="42">
        <f>Data!$S101</f>
        <v>25.951557093425606</v>
      </c>
      <c r="K75" s="42">
        <f>Data!$S115</f>
        <v>24.80968858131488</v>
      </c>
      <c r="L75" s="42">
        <f>Data!$S129</f>
        <v>26.228373702422147</v>
      </c>
      <c r="M75" s="42">
        <f>Data!$S143</f>
        <v>38.062283737024224</v>
      </c>
      <c r="N75" s="42">
        <f>Data!$S157</f>
        <v>33.425605536332185</v>
      </c>
      <c r="O75" s="42">
        <f>Data!$S171</f>
        <v>33.079584775086509</v>
      </c>
      <c r="P75" s="42">
        <f>Data!$S185</f>
        <v>28.442906574394463</v>
      </c>
      <c r="Q75" s="42">
        <f>Data!$S199</f>
        <v>28.442906574394463</v>
      </c>
      <c r="R75" s="42">
        <f>Data!$S213</f>
        <v>33.425605536332185</v>
      </c>
      <c r="S75" s="42">
        <f>Data!$S227</f>
        <v>36.262975778546718</v>
      </c>
      <c r="T75" s="42">
        <f>Data!$S241</f>
        <v>33.49480968858132</v>
      </c>
      <c r="U75" s="42">
        <f>Data!$S255</f>
        <v>39.031141868512115</v>
      </c>
      <c r="V75" s="42">
        <f>Data!$S269</f>
        <v>33.564013840830448</v>
      </c>
      <c r="W75" s="42">
        <f>Data!$S283</f>
        <v>40.622837370242216</v>
      </c>
      <c r="X75" s="42">
        <f>Data!$S297</f>
        <v>38.131487889273359</v>
      </c>
      <c r="Y75" s="42">
        <f>Data!$S311</f>
        <v>35.294117647058826</v>
      </c>
      <c r="Z75" s="42">
        <f>Data!$S325</f>
        <v>43.87543252595156</v>
      </c>
      <c r="AA75" s="42">
        <f>Data!$S339</f>
        <v>44.29065743944637</v>
      </c>
      <c r="AB75" s="42">
        <f>Data!$S353</f>
        <v>32.941176470588239</v>
      </c>
      <c r="AC75" s="42">
        <f>Data!$S367</f>
        <v>29.792387543252598</v>
      </c>
      <c r="AD75" s="42">
        <f>Data!$S381</f>
        <v>36.332179930795853</v>
      </c>
      <c r="AE75" s="42">
        <f>Data!$S395</f>
        <v>24.01384083044983</v>
      </c>
      <c r="AF75" s="42">
        <f>Data!$S409</f>
        <v>31.764705882352942</v>
      </c>
      <c r="AG75" s="42">
        <f>Data!$S423</f>
        <v>29.134948096885815</v>
      </c>
      <c r="AH75" s="42">
        <f>Data!$S437</f>
        <v>35.363321799307961</v>
      </c>
      <c r="AI75" s="42">
        <f>Data!$S451</f>
        <v>27.820069204152251</v>
      </c>
      <c r="AJ75" s="42">
        <f>Data!$S465</f>
        <v>26.782006920415228</v>
      </c>
      <c r="AK75" s="42">
        <f>Data!$S479</f>
        <v>28.512110726643598</v>
      </c>
      <c r="AL75" s="42">
        <f>Data!$S493</f>
        <v>27.612456747404845</v>
      </c>
      <c r="AM75" s="42">
        <f>Data!$S507</f>
        <v>33.010380622837374</v>
      </c>
      <c r="AN75" s="42">
        <f>Data!$S521</f>
        <v>23.944636678200695</v>
      </c>
      <c r="AO75" s="42">
        <f>Data!$S535</f>
        <v>20.830449826989621</v>
      </c>
      <c r="AP75" s="42">
        <f>Data!$S549</f>
        <v>24.982698961937718</v>
      </c>
      <c r="AQ75" s="42">
        <f>Data!$S563</f>
        <v>22.768166089965398</v>
      </c>
      <c r="AR75" s="42">
        <f>Data!$S577</f>
        <v>17.854671280276818</v>
      </c>
      <c r="AS75" s="42">
        <f>Data!$S591</f>
        <v>29.61937716262976</v>
      </c>
      <c r="AT75" s="42">
        <f>Data!$S605</f>
        <v>27.058823529411764</v>
      </c>
      <c r="AU75" s="42">
        <f>Data!$S619</f>
        <v>22.283737024221455</v>
      </c>
      <c r="AV75" s="42">
        <f>Data!$S633</f>
        <v>29.550173010380625</v>
      </c>
      <c r="AW75" s="42">
        <f>Data!$S647</f>
        <v>26.989619377162629</v>
      </c>
      <c r="AX75" s="42">
        <f>Data!$S661</f>
        <v>28.581314878892734</v>
      </c>
      <c r="AY75" s="42">
        <f>Data!$S675</f>
        <v>30.519031141868513</v>
      </c>
      <c r="AZ75" s="42">
        <f>Data!$S689</f>
        <v>28.512110726643598</v>
      </c>
      <c r="BA75" s="42">
        <f>Data!$S703</f>
        <v>29.896193771626297</v>
      </c>
      <c r="BB75" s="42">
        <f>Data!$S717</f>
        <v>19.86159169550173</v>
      </c>
      <c r="BC75" s="42">
        <f>Data!$S731</f>
        <v>20.207612456747405</v>
      </c>
      <c r="BD75" s="42">
        <f>Data!$S745</f>
        <v>26.505190311418687</v>
      </c>
      <c r="BE75" s="42">
        <f>Data!$S759</f>
        <v>23.806228373702425</v>
      </c>
      <c r="BF75" s="42">
        <f>Data!$S773</f>
        <v>22.352941176470591</v>
      </c>
      <c r="BG75" s="42">
        <f>Data!$S787</f>
        <v>25.259515570934258</v>
      </c>
      <c r="BH75" s="42">
        <f>Data!$S801</f>
        <v>30.865051903114189</v>
      </c>
      <c r="BI75" s="42">
        <f>Data!$S815</f>
        <v>23.391003460207614</v>
      </c>
      <c r="BJ75" s="42">
        <f>Data!$S829</f>
        <v>24.636678200692042</v>
      </c>
      <c r="BK75" s="42">
        <f>Data!$S843</f>
        <v>23.806228373702425</v>
      </c>
      <c r="BL75" s="42">
        <f>Data!$S857</f>
        <v>31.487889273356402</v>
      </c>
    </row>
    <row r="76" spans="2:64" x14ac:dyDescent="0.3">
      <c r="B76" t="str">
        <f t="shared" ref="B76:B80" si="10">B64</f>
        <v>Quebec</v>
      </c>
      <c r="C76" s="42">
        <f>Data!$S4</f>
        <v>0</v>
      </c>
      <c r="D76" s="42">
        <f>Data!$S18</f>
        <v>56.583629893238438</v>
      </c>
      <c r="E76" s="42">
        <f>Data!$S32</f>
        <v>55.278766310794779</v>
      </c>
      <c r="F76" s="42">
        <f>Data!$S46</f>
        <v>86.832740213523138</v>
      </c>
      <c r="G76" s="42">
        <f>Data!$S60</f>
        <v>53.262158956109133</v>
      </c>
      <c r="H76" s="42">
        <f>Data!$S74</f>
        <v>107.59193357058126</v>
      </c>
      <c r="I76" s="42">
        <f>Data!$S88</f>
        <v>69.157769869513643</v>
      </c>
      <c r="J76" s="42">
        <f>Data!$S102</f>
        <v>106.2870699881376</v>
      </c>
      <c r="K76" s="42">
        <f>Data!$S116</f>
        <v>93.890865954922901</v>
      </c>
      <c r="L76" s="42">
        <f>Data!$S130</f>
        <v>90.154211150652429</v>
      </c>
      <c r="M76" s="42">
        <f>Data!$S144</f>
        <v>81.969157769869511</v>
      </c>
      <c r="N76" s="42">
        <f>Data!$S158</f>
        <v>104.50771055753262</v>
      </c>
      <c r="O76" s="42">
        <f>Data!$S172</f>
        <v>90.7473309608541</v>
      </c>
      <c r="P76" s="42">
        <f>Data!$S186</f>
        <v>72.953736654804274</v>
      </c>
      <c r="Q76" s="42">
        <f>Data!$S200</f>
        <v>75.029655990510079</v>
      </c>
      <c r="R76" s="42">
        <f>Data!$S214</f>
        <v>81.969157769869511</v>
      </c>
      <c r="S76" s="42">
        <f>Data!$S228</f>
        <v>72.59786476868328</v>
      </c>
      <c r="T76" s="42">
        <f>Data!$S242</f>
        <v>118.26809015421115</v>
      </c>
      <c r="U76" s="42">
        <f>Data!$S256</f>
        <v>110.55753262158956</v>
      </c>
      <c r="V76" s="42">
        <f>Data!$S270</f>
        <v>86.832740213523138</v>
      </c>
      <c r="W76" s="42">
        <f>Data!$S284</f>
        <v>106.64294187425861</v>
      </c>
      <c r="X76" s="42">
        <f>Data!$S298</f>
        <v>95.729537366548044</v>
      </c>
      <c r="Y76" s="42">
        <f>Data!$S312</f>
        <v>99.525504151838675</v>
      </c>
      <c r="Z76" s="42">
        <f>Data!$S326</f>
        <v>103.55871886120997</v>
      </c>
      <c r="AA76" s="42">
        <f>Data!$S340</f>
        <v>92.289442467378407</v>
      </c>
      <c r="AB76" s="42">
        <f>Data!$S354</f>
        <v>77.22419928825623</v>
      </c>
      <c r="AC76" s="42">
        <f>Data!$S368</f>
        <v>101.72004744958483</v>
      </c>
      <c r="AD76" s="42">
        <f>Data!$S382</f>
        <v>91.933570581257413</v>
      </c>
      <c r="AE76" s="42">
        <f>Data!$S396</f>
        <v>99.288256227758012</v>
      </c>
      <c r="AF76" s="42">
        <f>Data!$S410</f>
        <v>111.98102016607355</v>
      </c>
      <c r="AG76" s="42">
        <f>Data!$S424</f>
        <v>131.67259786476868</v>
      </c>
      <c r="AH76" s="42">
        <f>Data!$S438</f>
        <v>119.57295373665481</v>
      </c>
      <c r="AI76" s="42">
        <f>Data!$S452</f>
        <v>175.97864768683274</v>
      </c>
      <c r="AJ76" s="42">
        <f>Data!$S466</f>
        <v>94.187425860023723</v>
      </c>
      <c r="AK76" s="42">
        <f>Data!$S480</f>
        <v>107.94780545670226</v>
      </c>
      <c r="AL76" s="42">
        <f>Data!$S494</f>
        <v>108.06642941874259</v>
      </c>
      <c r="AM76" s="42">
        <f>Data!$S508</f>
        <v>108.18505338078292</v>
      </c>
      <c r="AN76" s="42">
        <f>Data!$S522</f>
        <v>99.169632265717681</v>
      </c>
      <c r="AO76" s="42">
        <f>Data!$S536</f>
        <v>87.959667852906293</v>
      </c>
      <c r="AP76" s="42">
        <f>Data!$S550</f>
        <v>89.679715302491104</v>
      </c>
      <c r="AQ76" s="42">
        <f>Data!$S564</f>
        <v>83.748517200474495</v>
      </c>
      <c r="AR76" s="42">
        <f>Data!$S578</f>
        <v>104.38908659549229</v>
      </c>
      <c r="AS76" s="42">
        <f>Data!$S592</f>
        <v>72.241992882562286</v>
      </c>
      <c r="AT76" s="42">
        <f>Data!$S606</f>
        <v>90.510083036773437</v>
      </c>
      <c r="AU76" s="42">
        <f>Data!$S620</f>
        <v>85.646500593119811</v>
      </c>
      <c r="AV76" s="42">
        <f>Data!$S634</f>
        <v>67.615658362989322</v>
      </c>
      <c r="AW76" s="42">
        <f>Data!$S648</f>
        <v>68.564650059311987</v>
      </c>
      <c r="AX76" s="42">
        <f>Data!$S662</f>
        <v>85.409252669039148</v>
      </c>
      <c r="AY76" s="42">
        <f>Data!$S676</f>
        <v>76.631079478054573</v>
      </c>
      <c r="AZ76" s="42">
        <f>Data!$S690</f>
        <v>82.680901542111513</v>
      </c>
      <c r="BA76" s="42">
        <f>Data!$S704</f>
        <v>67.971530249110316</v>
      </c>
      <c r="BB76" s="42">
        <f>Data!$S718</f>
        <v>72.835112692763943</v>
      </c>
      <c r="BC76" s="42">
        <f>Data!$S732</f>
        <v>64.175563463819699</v>
      </c>
      <c r="BD76" s="42">
        <f>Data!$S746</f>
        <v>66.785290628707003</v>
      </c>
      <c r="BE76" s="42">
        <f>Data!$S760</f>
        <v>62.870699881376041</v>
      </c>
      <c r="BF76" s="42">
        <f>Data!$S774</f>
        <v>49.703440094899172</v>
      </c>
      <c r="BG76" s="42">
        <f>Data!$S788</f>
        <v>41.696322657176751</v>
      </c>
      <c r="BH76" s="42">
        <f>Data!$S802</f>
        <v>28.351126927639385</v>
      </c>
      <c r="BI76" s="42">
        <f>Data!$S816</f>
        <v>34.519572953736656</v>
      </c>
      <c r="BJ76" s="42">
        <f>Data!$S830</f>
        <v>30.723606168446029</v>
      </c>
      <c r="BK76" s="42">
        <f>Data!$S844</f>
        <v>30.2491103202847</v>
      </c>
      <c r="BL76" s="42">
        <f>Data!$S858</f>
        <v>26.809015421115067</v>
      </c>
    </row>
    <row r="77" spans="2:64" x14ac:dyDescent="0.3">
      <c r="B77" t="str">
        <f t="shared" si="10"/>
        <v>BC</v>
      </c>
      <c r="C77" s="42">
        <f>Data!$S5</f>
        <v>0</v>
      </c>
      <c r="D77" s="42">
        <f>Data!$S19</f>
        <v>18.326693227091635</v>
      </c>
      <c r="E77" s="42">
        <f>Data!$S33</f>
        <v>8.56573705179283</v>
      </c>
      <c r="F77" s="42">
        <f>Data!$S47</f>
        <v>8.56573705179283</v>
      </c>
      <c r="G77" s="42">
        <f>Data!$S61</f>
        <v>10.55776892430279</v>
      </c>
      <c r="H77" s="42">
        <f>Data!$S75</f>
        <v>10.956175298804782</v>
      </c>
      <c r="I77" s="42">
        <f>Data!$S89</f>
        <v>10.55776892430279</v>
      </c>
      <c r="J77" s="42">
        <f>Data!$S103</f>
        <v>5.7768924302788847</v>
      </c>
      <c r="K77" s="42">
        <f>Data!$S117</f>
        <v>6.2749003984063751</v>
      </c>
      <c r="L77" s="42">
        <f>Data!$S131</f>
        <v>4.9800796812749004</v>
      </c>
      <c r="M77" s="42">
        <f>Data!$S145</f>
        <v>8.9641434262948216</v>
      </c>
      <c r="N77" s="42">
        <f>Data!$S159</f>
        <v>7.9681274900398416</v>
      </c>
      <c r="O77" s="42">
        <f>Data!$S173</f>
        <v>6.7729083665338647</v>
      </c>
      <c r="P77" s="42">
        <f>Data!$S187</f>
        <v>6.9721115537848615</v>
      </c>
      <c r="Q77" s="42">
        <f>Data!$S201</f>
        <v>4.4820717131474108</v>
      </c>
      <c r="R77" s="42">
        <f>Data!$S215</f>
        <v>5.378486055776893</v>
      </c>
      <c r="S77" s="42">
        <f>Data!$S229</f>
        <v>8.7649402390438258</v>
      </c>
      <c r="T77" s="42">
        <f>Data!$S243</f>
        <v>2.7888446215139444</v>
      </c>
      <c r="U77" s="42">
        <f>Data!$S257</f>
        <v>8.56573705179283</v>
      </c>
      <c r="V77" s="42">
        <f>Data!$S271</f>
        <v>5.7768924302788847</v>
      </c>
      <c r="W77" s="42">
        <f>Data!$S285</f>
        <v>5.1792828685258971</v>
      </c>
      <c r="X77" s="42">
        <f>Data!$S299</f>
        <v>4.9800796812749004</v>
      </c>
      <c r="Y77" s="42">
        <f>Data!$S313</f>
        <v>14.143426294820719</v>
      </c>
      <c r="Z77" s="42">
        <f>Data!$S327</f>
        <v>5.7768924302788847</v>
      </c>
      <c r="AA77" s="42">
        <f>Data!$S341</f>
        <v>5.7768924302788847</v>
      </c>
      <c r="AB77" s="42">
        <f>Data!$S355</f>
        <v>18.924302788844624</v>
      </c>
      <c r="AC77" s="42">
        <f>Data!$S369</f>
        <v>4.9800796812749004</v>
      </c>
      <c r="AD77" s="42">
        <f>Data!$S383</f>
        <v>10.956175298804782</v>
      </c>
      <c r="AE77" s="42">
        <f>Data!$S397</f>
        <v>6.7729083665338647</v>
      </c>
      <c r="AF77" s="42">
        <f>Data!$S411</f>
        <v>4.9800796812749004</v>
      </c>
      <c r="AG77" s="42">
        <f>Data!$S425</f>
        <v>0</v>
      </c>
      <c r="AH77" s="42">
        <f>Data!$S439</f>
        <v>6.5737051792828689</v>
      </c>
      <c r="AI77" s="42">
        <f>Data!$S453</f>
        <v>7.8685258964143436</v>
      </c>
      <c r="AJ77" s="42">
        <f>Data!$S467</f>
        <v>1.5936254980079683</v>
      </c>
      <c r="AK77" s="42">
        <f>Data!$S481</f>
        <v>4.5816733067729087</v>
      </c>
      <c r="AL77" s="42">
        <f>Data!$S495</f>
        <v>6.5737051792828689</v>
      </c>
      <c r="AM77" s="42">
        <f>Data!$S509</f>
        <v>5.378486055776893</v>
      </c>
      <c r="AN77" s="42">
        <f>Data!$S523</f>
        <v>2.9880478087649407</v>
      </c>
      <c r="AO77" s="42">
        <f>Data!$S537</f>
        <v>2.2908366533864544</v>
      </c>
      <c r="AP77" s="42">
        <f>Data!$S551</f>
        <v>1.3944223107569722</v>
      </c>
      <c r="AQ77" s="42">
        <f>Data!$S565</f>
        <v>3.1872509960159365</v>
      </c>
      <c r="AR77" s="42">
        <f>Data!$S579</f>
        <v>3.1872509960159365</v>
      </c>
      <c r="AS77" s="42">
        <f>Data!$S593</f>
        <v>2.9880478087649407</v>
      </c>
      <c r="AT77" s="42">
        <f>Data!$S607</f>
        <v>4.1832669322709171</v>
      </c>
      <c r="AU77" s="42">
        <f>Data!$S621</f>
        <v>1.5936254980079683</v>
      </c>
      <c r="AV77" s="42">
        <f>Data!$S635</f>
        <v>0.39840637450199207</v>
      </c>
      <c r="AW77" s="42">
        <f>Data!$S649</f>
        <v>4.1832669322709171</v>
      </c>
      <c r="AX77" s="42">
        <f>Data!$S663</f>
        <v>2.3904382470119523</v>
      </c>
      <c r="AY77" s="42">
        <f>Data!$S677</f>
        <v>5.5776892430278888</v>
      </c>
      <c r="AZ77" s="42">
        <f>Data!$S691</f>
        <v>1.9920318725099604</v>
      </c>
      <c r="BA77" s="42">
        <f>Data!$S705</f>
        <v>1.1952191235059761</v>
      </c>
      <c r="BB77" s="42">
        <f>Data!$S719</f>
        <v>2.3904382470119523</v>
      </c>
      <c r="BC77" s="42">
        <f>Data!$S733</f>
        <v>1.7928286852589643</v>
      </c>
      <c r="BD77" s="42">
        <f>Data!$S747</f>
        <v>1.5936254980079683</v>
      </c>
      <c r="BE77" s="42">
        <f>Data!$S761</f>
        <v>0.79681274900398413</v>
      </c>
      <c r="BF77" s="42">
        <f>Data!$S775</f>
        <v>2.1912350597609564</v>
      </c>
      <c r="BG77" s="42">
        <f>Data!$S789</f>
        <v>2.3904382470119523</v>
      </c>
      <c r="BH77" s="42">
        <f>Data!$S803</f>
        <v>0.79681274900398413</v>
      </c>
      <c r="BI77" s="42">
        <f>Data!$S817</f>
        <v>4.3824701195219129</v>
      </c>
      <c r="BJ77" s="42">
        <f>Data!$S831</f>
        <v>1.7928286852589643</v>
      </c>
      <c r="BK77" s="42">
        <f>Data!$S845</f>
        <v>0</v>
      </c>
      <c r="BL77" s="42">
        <f>Data!$S859</f>
        <v>0</v>
      </c>
    </row>
    <row r="78" spans="2:64" x14ac:dyDescent="0.3">
      <c r="B78" t="str">
        <f t="shared" si="10"/>
        <v>Alberta</v>
      </c>
      <c r="C78" s="42">
        <f>Data!$S6</f>
        <v>0</v>
      </c>
      <c r="D78" s="42">
        <f>Data!$S20</f>
        <v>18.202764976958527</v>
      </c>
      <c r="E78" s="42">
        <f>Data!$S34</f>
        <v>7.9493087557603692</v>
      </c>
      <c r="F78" s="42">
        <f>Data!$S48</f>
        <v>14.746543778801843</v>
      </c>
      <c r="G78" s="42">
        <f>Data!$S62</f>
        <v>26.958525345622121</v>
      </c>
      <c r="H78" s="42">
        <f>Data!$S76</f>
        <v>22.350230414746544</v>
      </c>
      <c r="I78" s="42">
        <f>Data!$S90</f>
        <v>4.1474654377880187</v>
      </c>
      <c r="J78" s="42">
        <f>Data!$S104</f>
        <v>44.930875576036868</v>
      </c>
      <c r="K78" s="42">
        <f>Data!$S118</f>
        <v>7.9493087557603692</v>
      </c>
      <c r="L78" s="42">
        <f>Data!$S132</f>
        <v>28.341013824884794</v>
      </c>
      <c r="M78" s="42">
        <f>Data!$S146</f>
        <v>11.520737327188941</v>
      </c>
      <c r="N78" s="42">
        <f>Data!$S160</f>
        <v>6.4516129032258069</v>
      </c>
      <c r="O78" s="42">
        <f>Data!$S174</f>
        <v>11.290322580645162</v>
      </c>
      <c r="P78" s="42">
        <f>Data!$S188</f>
        <v>15.898617511520738</v>
      </c>
      <c r="Q78" s="42">
        <f>Data!$S202</f>
        <v>18.778801843317972</v>
      </c>
      <c r="R78" s="42">
        <f>Data!$S216</f>
        <v>31.797235023041477</v>
      </c>
      <c r="S78" s="42">
        <f>Data!$S230</f>
        <v>29.032258064516132</v>
      </c>
      <c r="T78" s="42">
        <f>Data!$S244</f>
        <v>37.327188940092164</v>
      </c>
      <c r="U78" s="42">
        <f>Data!$S258</f>
        <v>55.069124423963139</v>
      </c>
      <c r="V78" s="42">
        <f>Data!$S272</f>
        <v>38.018433179723502</v>
      </c>
      <c r="W78" s="42">
        <f>Data!$S286</f>
        <v>39.861751152073737</v>
      </c>
      <c r="X78" s="42">
        <f>Data!$S300</f>
        <v>43.087557603686641</v>
      </c>
      <c r="Y78" s="42">
        <f>Data!$S314</f>
        <v>70.506912442396313</v>
      </c>
      <c r="Z78" s="42">
        <f>Data!$S328</f>
        <v>73.502304147465438</v>
      </c>
      <c r="AA78" s="42">
        <f>Data!$S342</f>
        <v>68.433179723502306</v>
      </c>
      <c r="AB78" s="42">
        <f>Data!$S356</f>
        <v>47.465437788018434</v>
      </c>
      <c r="AC78" s="42">
        <f>Data!$S370</f>
        <v>54.493087557603687</v>
      </c>
      <c r="AD78" s="42">
        <f>Data!$S384</f>
        <v>35.483870967741936</v>
      </c>
      <c r="AE78" s="42">
        <f>Data!$S398</f>
        <v>72.58064516129032</v>
      </c>
      <c r="AF78" s="42">
        <f>Data!$S412</f>
        <v>43.778801843317972</v>
      </c>
      <c r="AG78" s="42">
        <f>Data!$S426</f>
        <v>50.230414746543779</v>
      </c>
      <c r="AH78" s="42">
        <f>Data!$S440</f>
        <v>22.350230414746544</v>
      </c>
      <c r="AI78" s="42">
        <f>Data!$S454</f>
        <v>22.235023041474655</v>
      </c>
      <c r="AJ78" s="42">
        <f>Data!$S468</f>
        <v>6.9124423963133639</v>
      </c>
      <c r="AK78" s="42">
        <f>Data!$S482</f>
        <v>16.129032258064516</v>
      </c>
      <c r="AL78" s="42">
        <f>Data!$S496</f>
        <v>12.442396313364055</v>
      </c>
      <c r="AM78" s="42">
        <f>Data!$S510</f>
        <v>18.663594470046082</v>
      </c>
      <c r="AN78" s="42">
        <f>Data!$S524</f>
        <v>13.59447004608295</v>
      </c>
      <c r="AO78" s="42">
        <f>Data!$S538</f>
        <v>16.474654377880185</v>
      </c>
      <c r="AP78" s="42">
        <f>Data!$S552</f>
        <v>10.368663594470046</v>
      </c>
      <c r="AQ78" s="42">
        <f>Data!$S566</f>
        <v>14.285714285714286</v>
      </c>
      <c r="AR78" s="42">
        <f>Data!$S580</f>
        <v>11.520737327188941</v>
      </c>
      <c r="AS78" s="42">
        <f>Data!$S594</f>
        <v>13.364055299539171</v>
      </c>
      <c r="AT78" s="42">
        <f>Data!$S608</f>
        <v>16.589861751152075</v>
      </c>
      <c r="AU78" s="42">
        <f>Data!$S622</f>
        <v>11.059907834101383</v>
      </c>
      <c r="AV78" s="42">
        <f>Data!$S636</f>
        <v>7.6036866359447011</v>
      </c>
      <c r="AW78" s="42">
        <f>Data!$S650</f>
        <v>4.3778801843317972</v>
      </c>
      <c r="AX78" s="42">
        <f>Data!$S664</f>
        <v>7.6036866359447011</v>
      </c>
      <c r="AY78" s="42">
        <f>Data!$S678</f>
        <v>7.3732718894009217</v>
      </c>
      <c r="AZ78" s="42">
        <f>Data!$S692</f>
        <v>4.1474654377880187</v>
      </c>
      <c r="BA78" s="42">
        <f>Data!$S706</f>
        <v>7.0276497695852536</v>
      </c>
      <c r="BB78" s="42">
        <f>Data!$S720</f>
        <v>5.0691244239631335</v>
      </c>
      <c r="BC78" s="42">
        <f>Data!$S734</f>
        <v>5.7603686635944706</v>
      </c>
      <c r="BD78" s="42">
        <f>Data!$S748</f>
        <v>6.6820276497695854</v>
      </c>
      <c r="BE78" s="42">
        <f>Data!$S762</f>
        <v>5.5299539170506913</v>
      </c>
      <c r="BF78" s="42">
        <f>Data!$S776</f>
        <v>2.9953917050691246</v>
      </c>
      <c r="BG78" s="42">
        <f>Data!$S790</f>
        <v>5.9907834101382491</v>
      </c>
      <c r="BH78" s="42">
        <f>Data!$S804</f>
        <v>2.9953917050691246</v>
      </c>
      <c r="BI78" s="42">
        <f>Data!$S818</f>
        <v>4.3778801843317972</v>
      </c>
      <c r="BJ78" s="42">
        <f>Data!$S832</f>
        <v>3.4562211981566819</v>
      </c>
      <c r="BK78" s="42">
        <f>Data!$S846</f>
        <v>1.6129032258064517</v>
      </c>
      <c r="BL78" s="42">
        <f>Data!$S860</f>
        <v>9.216589861751153</v>
      </c>
    </row>
    <row r="79" spans="2:64" x14ac:dyDescent="0.3">
      <c r="B79" t="str">
        <f t="shared" si="10"/>
        <v>Manitoba</v>
      </c>
      <c r="C79" s="42">
        <f>Data!$S7</f>
        <v>0</v>
      </c>
      <c r="D79" s="42">
        <f>Data!$S21</f>
        <v>18.382352941176471</v>
      </c>
      <c r="E79" s="42">
        <f>Data!$S35</f>
        <v>11.76470588235294</v>
      </c>
      <c r="F79" s="42">
        <f>Data!$S49</f>
        <v>5.1470588235294112</v>
      </c>
      <c r="G79" s="42">
        <f>Data!$S63</f>
        <v>17.647058823529409</v>
      </c>
      <c r="H79" s="42">
        <f>Data!$S77</f>
        <v>29.411764705882351</v>
      </c>
      <c r="I79" s="42">
        <f>Data!$S91</f>
        <v>11.029411764705882</v>
      </c>
      <c r="J79" s="42">
        <f>Data!$S105</f>
        <v>8.8235294117647047</v>
      </c>
      <c r="K79" s="42">
        <f>Data!$S119</f>
        <v>3.6764705882352939</v>
      </c>
      <c r="L79" s="42">
        <f>Data!$S133</f>
        <v>9.5588235294117645</v>
      </c>
      <c r="M79" s="42">
        <f>Data!$S147</f>
        <v>2.9411764705882351</v>
      </c>
      <c r="N79" s="42">
        <f>Data!$S161</f>
        <v>2.2058823529411762</v>
      </c>
      <c r="O79" s="42">
        <f>Data!$S175</f>
        <v>4.4117647058823524</v>
      </c>
      <c r="P79" s="42">
        <f>Data!$S189</f>
        <v>9.5588235294117645</v>
      </c>
      <c r="Q79" s="42">
        <f>Data!$S203</f>
        <v>1.1029411764705881</v>
      </c>
      <c r="R79" s="42">
        <f>Data!$S217</f>
        <v>0</v>
      </c>
      <c r="S79" s="42">
        <f>Data!$S231</f>
        <v>0</v>
      </c>
      <c r="T79" s="42">
        <f>Data!$S245</f>
        <v>2.9411764705882351</v>
      </c>
      <c r="U79" s="42">
        <f>Data!$S259</f>
        <v>0</v>
      </c>
      <c r="V79" s="42">
        <f>Data!$S273</f>
        <v>2.2058823529411762</v>
      </c>
      <c r="W79" s="42">
        <f>Data!$S287</f>
        <v>0.36764705882352938</v>
      </c>
      <c r="X79" s="42">
        <f>Data!$S301</f>
        <v>0.73529411764705876</v>
      </c>
      <c r="Y79" s="42">
        <f>Data!$S315</f>
        <v>1.4705882352941175</v>
      </c>
      <c r="Z79" s="42">
        <f>Data!$S329</f>
        <v>3.6764705882352939</v>
      </c>
      <c r="AA79" s="42">
        <f>Data!$S343</f>
        <v>0.73529411764705876</v>
      </c>
      <c r="AB79" s="42">
        <f>Data!$S357</f>
        <v>2.9411764705882351</v>
      </c>
      <c r="AC79" s="42">
        <f>Data!$S371</f>
        <v>1.838235294117647</v>
      </c>
      <c r="AD79" s="42">
        <f>Data!$S385</f>
        <v>0</v>
      </c>
      <c r="AE79" s="42">
        <f>Data!$S399</f>
        <v>0.73529411764705876</v>
      </c>
      <c r="AF79" s="42">
        <f>Data!$S413</f>
        <v>1.4705882352941175</v>
      </c>
      <c r="AG79" s="42">
        <f>Data!$S427</f>
        <v>2.9411764705882351</v>
      </c>
      <c r="AH79" s="42">
        <f>Data!$S441</f>
        <v>0.73529411764705876</v>
      </c>
      <c r="AI79" s="42">
        <f>Data!$S455</f>
        <v>0.36764705882352938</v>
      </c>
      <c r="AJ79" s="42">
        <f>Data!$S469</f>
        <v>0.73529411764705876</v>
      </c>
      <c r="AK79" s="42">
        <f>Data!$S483</f>
        <v>0.73529411764705876</v>
      </c>
      <c r="AL79" s="42">
        <f>Data!$S497</f>
        <v>0.73529411764705876</v>
      </c>
      <c r="AM79" s="42">
        <f>Data!$S511</f>
        <v>0</v>
      </c>
      <c r="AN79" s="42">
        <f>Data!$S525</f>
        <v>0</v>
      </c>
      <c r="AO79" s="42">
        <f>Data!$S539</f>
        <v>1.838235294117647</v>
      </c>
      <c r="AP79" s="42">
        <f>Data!$S553</f>
        <v>0.73529411764705876</v>
      </c>
      <c r="AQ79" s="42">
        <f>Data!$S567</f>
        <v>0</v>
      </c>
      <c r="AR79" s="42">
        <v>0</v>
      </c>
      <c r="AS79" s="42">
        <f>Data!$S595</f>
        <v>0</v>
      </c>
      <c r="AT79" s="42">
        <f>Data!$S609</f>
        <v>0</v>
      </c>
      <c r="AU79" s="42">
        <f>Data!$S623</f>
        <v>0.36764705882352938</v>
      </c>
      <c r="AV79" s="42">
        <f>Data!$S637</f>
        <v>0</v>
      </c>
      <c r="AW79" s="42">
        <f>Data!$S651</f>
        <v>0</v>
      </c>
      <c r="AX79" s="42">
        <f>Data!$S665</f>
        <v>0</v>
      </c>
      <c r="AY79" s="42">
        <f>Data!$S679</f>
        <v>1.4705882352941175</v>
      </c>
      <c r="AZ79" s="42">
        <f>Data!$S693</f>
        <v>0</v>
      </c>
      <c r="BA79" s="42">
        <f>Data!$S707</f>
        <v>0</v>
      </c>
      <c r="BB79" s="42">
        <f>Data!$S721</f>
        <v>0</v>
      </c>
      <c r="BC79" s="42">
        <f>Data!$S735</f>
        <v>0</v>
      </c>
      <c r="BD79" s="42">
        <f>Data!$S749</f>
        <v>1.4705882352941175</v>
      </c>
      <c r="BE79" s="42">
        <f>Data!$S763</f>
        <v>0</v>
      </c>
      <c r="BF79" s="42">
        <f>Data!$S777</f>
        <v>0</v>
      </c>
      <c r="BG79" s="42">
        <f>Data!$S791</f>
        <v>0.36764705882352938</v>
      </c>
      <c r="BH79" s="42">
        <f>Data!$S805</f>
        <v>1.4705882352941175</v>
      </c>
      <c r="BI79" s="42">
        <f>Data!$S819</f>
        <v>0.73529411764705876</v>
      </c>
      <c r="BJ79" s="42">
        <f>Data!$S833</f>
        <v>0</v>
      </c>
      <c r="BK79" s="42">
        <f>Data!$S847</f>
        <v>1.4705882352941175</v>
      </c>
      <c r="BL79" s="42">
        <f>Data!$S861</f>
        <v>0</v>
      </c>
    </row>
    <row r="80" spans="2:64" x14ac:dyDescent="0.3">
      <c r="B80" t="str">
        <f t="shared" si="10"/>
        <v>Sask</v>
      </c>
      <c r="C80" s="42">
        <f>Data!$S8</f>
        <v>0</v>
      </c>
      <c r="D80" s="42">
        <f>Data!$S22</f>
        <v>25.641025641025642</v>
      </c>
      <c r="E80" s="42">
        <f>Data!$S36</f>
        <v>17.948717948717949</v>
      </c>
      <c r="F80" s="42">
        <f>Data!$S50</f>
        <v>6.8376068376068382</v>
      </c>
      <c r="G80" s="42">
        <f>Data!$S64</f>
        <v>7.6923076923076925</v>
      </c>
      <c r="H80" s="42">
        <f>Data!$S78</f>
        <v>11.111111111111112</v>
      </c>
      <c r="I80" s="42">
        <f>Data!$S92</f>
        <v>11.965811965811966</v>
      </c>
      <c r="J80" s="42">
        <f>Data!$S106</f>
        <v>9.4017094017094021</v>
      </c>
      <c r="K80" s="42">
        <f>Data!$S120</f>
        <v>9.4017094017094021</v>
      </c>
      <c r="L80" s="42">
        <f>Data!$S134</f>
        <v>5.982905982905983</v>
      </c>
      <c r="M80" s="42">
        <f>Data!$S148</f>
        <v>9.4017094017094021</v>
      </c>
      <c r="N80" s="42">
        <f>Data!$S162</f>
        <v>5.982905982905983</v>
      </c>
      <c r="O80" s="42">
        <f>Data!$S176</f>
        <v>5.982905982905983</v>
      </c>
      <c r="P80" s="42">
        <f>Data!$S190</f>
        <v>3.4188034188034191</v>
      </c>
      <c r="Q80" s="42">
        <f>Data!$S204</f>
        <v>4.700854700854701</v>
      </c>
      <c r="R80" s="42">
        <f>Data!$S218</f>
        <v>0.85470085470085477</v>
      </c>
      <c r="S80" s="42">
        <f>Data!$S232</f>
        <v>2.5641025641025643</v>
      </c>
      <c r="T80" s="42">
        <f>Data!$S246</f>
        <v>0.85470085470085477</v>
      </c>
      <c r="U80" s="42">
        <f>Data!$S260</f>
        <v>1.7094017094017095</v>
      </c>
      <c r="V80" s="42">
        <f>Data!$S274</f>
        <v>5.1282051282051286</v>
      </c>
      <c r="W80" s="42">
        <f>Data!$S288</f>
        <v>1.2820512820512822</v>
      </c>
      <c r="X80" s="42">
        <f>Data!$S302</f>
        <v>3.4188034188034191</v>
      </c>
      <c r="Y80" s="42">
        <f>Data!$S316</f>
        <v>5.1282051282051286</v>
      </c>
      <c r="Z80" s="42">
        <f>Data!$S330</f>
        <v>4.2735042735042734</v>
      </c>
      <c r="AA80" s="42">
        <f>Data!$S344</f>
        <v>8.5470085470085468</v>
      </c>
      <c r="AB80" s="42">
        <f>Data!$S358</f>
        <v>6.8376068376068382</v>
      </c>
      <c r="AC80" s="42">
        <f>Data!$S372</f>
        <v>6.8376068376068382</v>
      </c>
      <c r="AD80" s="42">
        <f>Data!$S386</f>
        <v>0.85470085470085477</v>
      </c>
      <c r="AE80" s="42">
        <f>Data!$S400</f>
        <v>14.529914529914532</v>
      </c>
      <c r="AF80" s="42">
        <f>Data!$S414</f>
        <v>5.1282051282051286</v>
      </c>
      <c r="AG80" s="42">
        <f>Data!$S428</f>
        <v>22.222222222222225</v>
      </c>
      <c r="AH80" s="42">
        <f>Data!$S442</f>
        <v>5.1282051282051286</v>
      </c>
      <c r="AI80" s="42">
        <f>Data!$S456</f>
        <v>19.658119658119659</v>
      </c>
      <c r="AJ80" s="42">
        <f>Data!$S470</f>
        <v>17.094017094017094</v>
      </c>
      <c r="AK80" s="42">
        <f>Data!$S484</f>
        <v>21.36752136752137</v>
      </c>
      <c r="AL80" s="42">
        <f>Data!$S498</f>
        <v>16.239316239316242</v>
      </c>
      <c r="AM80" s="42">
        <f>Data!$S512</f>
        <v>11.111111111111112</v>
      </c>
      <c r="AN80" s="42">
        <f>Data!$S526</f>
        <v>7.6923076923076925</v>
      </c>
      <c r="AO80" s="42">
        <f>Data!$S540</f>
        <v>6.4102564102564106</v>
      </c>
      <c r="AP80" s="42">
        <f>Data!$S554</f>
        <v>4.2735042735042734</v>
      </c>
      <c r="AQ80" s="42">
        <f>Data!$S568</f>
        <v>3.4188034188034191</v>
      </c>
      <c r="AR80" s="42">
        <f>Data!$S582</f>
        <v>4.2735042735042734</v>
      </c>
      <c r="AS80" s="42">
        <f>Data!$S596</f>
        <v>6.8376068376068382</v>
      </c>
      <c r="AT80" s="42">
        <f>Data!$S610</f>
        <v>0.85470085470085477</v>
      </c>
      <c r="AU80" s="42">
        <f>Data!$S624</f>
        <v>0.42735042735042739</v>
      </c>
      <c r="AV80" s="42">
        <f>Data!$S638</f>
        <v>5.982905982905983</v>
      </c>
      <c r="AW80" s="42">
        <f>Data!$S652</f>
        <v>17.948717948717949</v>
      </c>
      <c r="AX80" s="42">
        <f>Data!$S666</f>
        <v>1.7094017094017095</v>
      </c>
      <c r="AY80" s="42">
        <f>Data!$S680</f>
        <v>4.2735042735042734</v>
      </c>
      <c r="AZ80" s="42">
        <f>Data!$S694</f>
        <v>2.5641025641025643</v>
      </c>
      <c r="BA80" s="42">
        <f>Data!$S708</f>
        <v>1.7094017094017095</v>
      </c>
      <c r="BB80" s="42">
        <f>Data!$S722</f>
        <v>0</v>
      </c>
      <c r="BC80" s="42">
        <f>Data!$S736</f>
        <v>2.5641025641025643</v>
      </c>
      <c r="BD80" s="42">
        <f>Data!$S750</f>
        <v>1.7094017094017095</v>
      </c>
      <c r="BE80" s="42">
        <f>Data!$S764</f>
        <v>1.7094017094017095</v>
      </c>
      <c r="BF80" s="42">
        <f>Data!$S778</f>
        <v>3.4188034188034191</v>
      </c>
      <c r="BG80" s="42">
        <f>Data!$S792</f>
        <v>0.42735042735042739</v>
      </c>
      <c r="BH80" s="42">
        <f>Data!$S806</f>
        <v>0</v>
      </c>
      <c r="BI80" s="42">
        <f>Data!$S820</f>
        <v>0.85470085470085477</v>
      </c>
      <c r="BJ80" s="42">
        <f>Data!$S834</f>
        <v>0.85470085470085477</v>
      </c>
      <c r="BK80" s="42">
        <f>Data!$S848</f>
        <v>0.85470085470085477</v>
      </c>
      <c r="BL80" s="42">
        <f>Data!$S862</f>
        <v>0.85470085470085477</v>
      </c>
    </row>
    <row r="81" spans="2:64" x14ac:dyDescent="0.3">
      <c r="B81" t="s">
        <v>6</v>
      </c>
      <c r="C81" s="42">
        <f>Data!$S9</f>
        <v>0</v>
      </c>
      <c r="D81" s="42">
        <f>Data!$S23</f>
        <v>33.160621761658035</v>
      </c>
      <c r="E81" s="42">
        <f>Data!$S37</f>
        <v>2.5906735751295336</v>
      </c>
      <c r="F81" s="42">
        <f>Data!$S51</f>
        <v>20.725388601036268</v>
      </c>
      <c r="G81" s="42">
        <f>Data!$S65</f>
        <v>26.94300518134715</v>
      </c>
      <c r="H81" s="42">
        <f>Data!$S79</f>
        <v>20.725388601036268</v>
      </c>
      <c r="I81" s="42">
        <f>Data!$S93</f>
        <v>14.507772020725389</v>
      </c>
      <c r="J81" s="42">
        <f>Data!$S107</f>
        <v>30.051813471502591</v>
      </c>
      <c r="K81" s="42">
        <f>Data!$S121</f>
        <v>29.533678756476686</v>
      </c>
      <c r="L81" s="42">
        <f>Data!$S135</f>
        <v>17.616580310880831</v>
      </c>
      <c r="M81" s="42">
        <f>Data!$S149</f>
        <v>33.160621761658035</v>
      </c>
      <c r="N81" s="42">
        <f>Data!$S163</f>
        <v>32.124352331606218</v>
      </c>
      <c r="O81" s="42">
        <f>Data!$S177</f>
        <v>35.233160621761662</v>
      </c>
      <c r="P81" s="42">
        <f>Data!$S191</f>
        <v>21.761658031088082</v>
      </c>
      <c r="Q81" s="42">
        <f>Data!$S205</f>
        <v>23.834196891191709</v>
      </c>
      <c r="R81" s="42">
        <f>Data!$S219</f>
        <v>44.559585492227981</v>
      </c>
      <c r="S81" s="42">
        <f>Data!$S233</f>
        <v>33.160621761658035</v>
      </c>
      <c r="T81" s="42">
        <f>Data!$S247</f>
        <v>31.088082901554404</v>
      </c>
      <c r="U81" s="42">
        <f>Data!$S261</f>
        <v>27.979274611398964</v>
      </c>
      <c r="V81" s="42">
        <f>Data!$S275</f>
        <v>44.559585492227981</v>
      </c>
      <c r="W81" s="42">
        <f>Data!$S289</f>
        <v>37.30569948186529</v>
      </c>
      <c r="X81" s="42">
        <f>Data!$S303</f>
        <v>16.580310880829018</v>
      </c>
      <c r="Y81" s="42">
        <f>Data!$S317</f>
        <v>36.269430051813472</v>
      </c>
      <c r="Z81" s="42">
        <f>Data!$S331</f>
        <v>56.994818652849744</v>
      </c>
      <c r="AA81" s="42">
        <f>Data!$S345</f>
        <v>23.834196891191709</v>
      </c>
      <c r="AB81" s="42">
        <f>Data!$S359</f>
        <v>15.544041450777202</v>
      </c>
      <c r="AC81" s="42">
        <f>Data!$S373</f>
        <v>18.134715025906736</v>
      </c>
      <c r="AD81" s="42">
        <f>Data!$S387</f>
        <v>15.544041450777202</v>
      </c>
      <c r="AE81" s="42">
        <f>Data!$S401</f>
        <v>20.725388601036268</v>
      </c>
      <c r="AF81" s="42">
        <f>Data!$S415</f>
        <v>12.435233160621761</v>
      </c>
      <c r="AG81" s="42">
        <f>Data!$S429</f>
        <v>12.435233160621761</v>
      </c>
      <c r="AH81" s="42">
        <f>Data!$S443</f>
        <v>4.1450777202072544</v>
      </c>
      <c r="AI81" s="42">
        <f>Data!$S457</f>
        <v>11.398963730569948</v>
      </c>
      <c r="AJ81" s="42">
        <f>Data!$S471</f>
        <v>6.2176165803108807</v>
      </c>
      <c r="AK81" s="42">
        <f>Data!$S485</f>
        <v>7.2538860103626943</v>
      </c>
      <c r="AL81" s="42">
        <f>Data!$S499</f>
        <v>9.3264248704663224</v>
      </c>
      <c r="AM81" s="42">
        <f>Data!$S513</f>
        <v>1.0362694300518136</v>
      </c>
      <c r="AN81" s="42">
        <f>Data!$S527</f>
        <v>3.1088082901554404</v>
      </c>
      <c r="AO81" s="42">
        <f>Data!$S541</f>
        <v>4.1450777202072544</v>
      </c>
      <c r="AP81" s="42">
        <f>Data!$S555</f>
        <v>1.0362694300518136</v>
      </c>
      <c r="AQ81" s="42">
        <f>Data!$S569</f>
        <v>4.1450777202072544</v>
      </c>
      <c r="AR81" s="42">
        <f>Data!$S583</f>
        <v>2.0725388601036272</v>
      </c>
      <c r="AS81" s="42">
        <f>Data!$S597</f>
        <v>8.2901554404145088</v>
      </c>
      <c r="AT81" s="42">
        <f>Data!$S611</f>
        <v>3.1088082901554404</v>
      </c>
      <c r="AU81" s="42">
        <f>Data!$S625</f>
        <v>3.1088082901554404</v>
      </c>
      <c r="AV81" s="42">
        <f>Data!$S639</f>
        <v>1.0362694300518136</v>
      </c>
      <c r="AW81" s="42">
        <f>Data!$S653</f>
        <v>1.0362694300518136</v>
      </c>
      <c r="AX81" s="42">
        <f>Data!$S667</f>
        <v>1.0362694300518136</v>
      </c>
      <c r="AY81" s="42">
        <f>Data!$S681</f>
        <v>2.0725388601036272</v>
      </c>
      <c r="AZ81" s="42">
        <f>Data!$S695</f>
        <v>1.0362694300518136</v>
      </c>
      <c r="BA81" s="42">
        <f>Data!$S709</f>
        <v>1.0362694300518136</v>
      </c>
      <c r="BB81" s="42">
        <f>Data!$S723</f>
        <v>1.0362694300518136</v>
      </c>
      <c r="BC81" s="42">
        <f>Data!$S737</f>
        <v>1.0362694300518136</v>
      </c>
      <c r="BD81" s="42">
        <f>Data!$S751</f>
        <v>2.0725388601036272</v>
      </c>
      <c r="BE81" s="42">
        <f>Data!$S765</f>
        <v>0</v>
      </c>
      <c r="BF81" s="42">
        <f>Data!$S779</f>
        <v>1.0362694300518136</v>
      </c>
      <c r="BG81" s="42">
        <f>Data!$S793</f>
        <v>0.5181347150259068</v>
      </c>
      <c r="BH81" s="42">
        <f>Data!$S807</f>
        <v>0</v>
      </c>
      <c r="BI81" s="42">
        <f>Data!$S821</f>
        <v>1.0362694300518136</v>
      </c>
      <c r="BJ81" s="42">
        <f>Data!$S835</f>
        <v>0</v>
      </c>
      <c r="BK81" s="42">
        <f>Data!$S849</f>
        <v>0</v>
      </c>
      <c r="BL81" s="42">
        <f>Data!$S863</f>
        <v>2.0725388601036272</v>
      </c>
    </row>
    <row r="82" spans="2:64" x14ac:dyDescent="0.3">
      <c r="B82" t="s">
        <v>7</v>
      </c>
      <c r="C82" s="42">
        <f>Data!$S10</f>
        <v>0</v>
      </c>
      <c r="D82" s="42">
        <f>Data!$S24</f>
        <v>7.7720207253886011</v>
      </c>
      <c r="E82" s="42">
        <f>Data!$S38</f>
        <v>11.010362694300518</v>
      </c>
      <c r="F82" s="42">
        <f>Data!$S52</f>
        <v>2.5906735751295336</v>
      </c>
      <c r="G82" s="42">
        <f>Data!$S66</f>
        <v>14.248704663212434</v>
      </c>
      <c r="H82" s="42">
        <f>Data!$S80</f>
        <v>12.953367875647668</v>
      </c>
      <c r="I82" s="42">
        <f>Data!$S94</f>
        <v>5.1813471502590671</v>
      </c>
      <c r="J82" s="42">
        <f>Data!$S108</f>
        <v>3.8860103626943006</v>
      </c>
      <c r="K82" s="42">
        <f>Data!$S122</f>
        <v>3.2383419689119171</v>
      </c>
      <c r="L82" s="42">
        <f>Data!$S136</f>
        <v>2.5906735751295336</v>
      </c>
      <c r="M82" s="42">
        <f>Data!$S150</f>
        <v>3.8860103626943006</v>
      </c>
      <c r="N82" s="42">
        <f>Data!$S164</f>
        <v>3.8860103626943006</v>
      </c>
      <c r="O82" s="42">
        <f>Data!$S178</f>
        <v>1.2953367875647668</v>
      </c>
      <c r="P82" s="42">
        <f>Data!$S192</f>
        <v>0</v>
      </c>
      <c r="Q82" s="42">
        <f>Data!$S206</f>
        <v>2.5906735751295336</v>
      </c>
      <c r="R82" s="42">
        <f>Data!$S220</f>
        <v>0</v>
      </c>
      <c r="S82" s="42">
        <f>Data!$S234</f>
        <v>1.2953367875647668</v>
      </c>
      <c r="T82" s="42">
        <f>Data!$S248</f>
        <v>0</v>
      </c>
      <c r="U82" s="42">
        <f>Data!$S262</f>
        <v>0</v>
      </c>
      <c r="V82" s="42">
        <f>Data!$S276</f>
        <v>1.2953367875647668</v>
      </c>
      <c r="W82" s="42">
        <f>Data!$S290</f>
        <v>0</v>
      </c>
      <c r="X82" s="42">
        <f>Data!$S304</f>
        <v>0</v>
      </c>
      <c r="Y82" s="42">
        <f>Data!$S318</f>
        <v>0</v>
      </c>
      <c r="Z82" s="42">
        <f>Data!$S332</f>
        <v>0</v>
      </c>
      <c r="AA82" s="42">
        <f>Data!$S346</f>
        <v>0</v>
      </c>
      <c r="AB82" s="42">
        <f>Data!$S360</f>
        <v>0</v>
      </c>
      <c r="AC82" s="42">
        <f>Data!$S374</f>
        <v>0</v>
      </c>
      <c r="AD82" s="42">
        <f>Data!$S388</f>
        <v>0</v>
      </c>
      <c r="AE82" s="42">
        <f>Data!$S402</f>
        <v>0</v>
      </c>
      <c r="AF82" s="42">
        <f>Data!$S416</f>
        <v>0</v>
      </c>
      <c r="AG82" s="42">
        <f>Data!$S430</f>
        <v>0</v>
      </c>
      <c r="AH82" s="42">
        <f>Data!$S444</f>
        <v>0</v>
      </c>
      <c r="AI82" s="42">
        <f>Data!$S458</f>
        <v>0</v>
      </c>
      <c r="AJ82" s="42">
        <f>Data!$S472</f>
        <v>1.2953367875647668</v>
      </c>
      <c r="AK82" s="42">
        <f>Data!$S486</f>
        <v>1.2953367875647668</v>
      </c>
      <c r="AL82" s="42">
        <f>Data!$S500</f>
        <v>0</v>
      </c>
      <c r="AM82" s="42">
        <f>Data!$S514</f>
        <v>0</v>
      </c>
      <c r="AN82" s="42">
        <f>Data!$S528</f>
        <v>0</v>
      </c>
      <c r="AO82" s="42">
        <f>Data!$S542</f>
        <v>0</v>
      </c>
      <c r="AP82" s="42">
        <f>Data!$S556</f>
        <v>0</v>
      </c>
      <c r="AQ82" s="42">
        <f>Data!$S570</f>
        <v>0</v>
      </c>
      <c r="AR82" s="42">
        <f>Data!$S584</f>
        <v>0</v>
      </c>
      <c r="AS82" s="42">
        <f>Data!$S598</f>
        <v>0</v>
      </c>
      <c r="AT82" s="42">
        <f>Data!$S612</f>
        <v>0</v>
      </c>
      <c r="AU82" s="42">
        <f>Data!$S626</f>
        <v>0</v>
      </c>
      <c r="AV82" s="42">
        <f>Data!$S640</f>
        <v>0</v>
      </c>
      <c r="AW82" s="42">
        <f>Data!$S654</f>
        <v>0</v>
      </c>
      <c r="AX82" s="42">
        <f>Data!$S668</f>
        <v>1.2953367875647668</v>
      </c>
      <c r="AY82" s="42">
        <f>Data!$S682</f>
        <v>0</v>
      </c>
      <c r="AZ82" s="42">
        <f>Data!$S696</f>
        <v>0</v>
      </c>
      <c r="BA82" s="42">
        <f>Data!$S710</f>
        <v>0</v>
      </c>
      <c r="BB82" s="42">
        <f>Data!$S724</f>
        <v>1.2953367875647668</v>
      </c>
      <c r="BC82" s="42">
        <f>Data!$S738</f>
        <v>1.2953367875647668</v>
      </c>
      <c r="BD82" s="42">
        <f>Data!$S752</f>
        <v>3.8860103626943006</v>
      </c>
      <c r="BE82" s="42">
        <f>Data!$S766</f>
        <v>2.5906735751295336</v>
      </c>
      <c r="BF82" s="42">
        <f>Data!$S780</f>
        <v>1.2953367875647668</v>
      </c>
      <c r="BG82" s="42">
        <f>Data!$S794</f>
        <v>1.9430051813471503</v>
      </c>
      <c r="BH82" s="42">
        <f>Data!$S808</f>
        <v>1.2953367875647668</v>
      </c>
      <c r="BI82" s="42">
        <f>Data!$S822</f>
        <v>2.5906735751295336</v>
      </c>
      <c r="BJ82" s="42">
        <f>Data!$S836</f>
        <v>1.2953367875647668</v>
      </c>
      <c r="BK82" s="42">
        <f>Data!$S850</f>
        <v>0</v>
      </c>
      <c r="BL82" s="42">
        <f>Data!$S864</f>
        <v>0</v>
      </c>
    </row>
    <row r="83" spans="2:64" x14ac:dyDescent="0.3">
      <c r="B83" t="s">
        <v>18</v>
      </c>
      <c r="C83" s="42">
        <f>Data!$S11</f>
        <v>0</v>
      </c>
      <c r="D83" s="42">
        <f>Data!$S25</f>
        <v>12.987012987012987</v>
      </c>
      <c r="E83" s="42">
        <f>Data!$S39</f>
        <v>22.727272727272727</v>
      </c>
      <c r="F83" s="42">
        <f>Data!$S53</f>
        <v>19.480519480519479</v>
      </c>
      <c r="G83" s="42">
        <f>Data!$S67</f>
        <v>0</v>
      </c>
      <c r="H83" s="42">
        <f>Data!$S81</f>
        <v>6.4935064935064934</v>
      </c>
      <c r="I83" s="42">
        <f>Data!$S95</f>
        <v>0</v>
      </c>
      <c r="J83" s="42">
        <f>Data!$S109</f>
        <v>0</v>
      </c>
      <c r="K83" s="42">
        <f>Data!$S123</f>
        <v>0</v>
      </c>
      <c r="L83" s="42">
        <f>Data!$S137</f>
        <v>0</v>
      </c>
      <c r="M83" s="42">
        <f>Data!$S151</f>
        <v>12.987012987012987</v>
      </c>
      <c r="N83" s="42">
        <f>Data!$S165</f>
        <v>6.4935064935064934</v>
      </c>
      <c r="O83" s="42">
        <f>Data!$S179</f>
        <v>0</v>
      </c>
      <c r="P83" s="42">
        <f>Data!$S193</f>
        <v>0</v>
      </c>
      <c r="Q83" s="42">
        <f>Data!$S207</f>
        <v>0</v>
      </c>
      <c r="R83" s="42">
        <f>Data!$S221</f>
        <v>0</v>
      </c>
      <c r="S83" s="42">
        <f>Data!$S235</f>
        <v>6.4935064935064934</v>
      </c>
      <c r="T83" s="42">
        <f>Data!$S249</f>
        <v>0</v>
      </c>
      <c r="U83" s="42">
        <f>Data!$S263</f>
        <v>0</v>
      </c>
      <c r="V83" s="42">
        <f>Data!$S277</f>
        <v>0</v>
      </c>
      <c r="W83" s="42">
        <f>Data!$S291</f>
        <v>0</v>
      </c>
      <c r="X83" s="42">
        <f>Data!$S305</f>
        <v>0</v>
      </c>
      <c r="Y83" s="42">
        <f>Data!$S319</f>
        <v>0</v>
      </c>
      <c r="Z83" s="42">
        <f>Data!$S333</f>
        <v>0</v>
      </c>
      <c r="AA83" s="42">
        <f>Data!$S347</f>
        <v>0</v>
      </c>
      <c r="AB83" s="42">
        <f>Data!$S361</f>
        <v>0</v>
      </c>
      <c r="AC83" s="42">
        <f>Data!$S375</f>
        <v>0</v>
      </c>
      <c r="AD83" s="42">
        <f>Data!$S389</f>
        <v>0</v>
      </c>
      <c r="AE83" s="42">
        <f>Data!$S403</f>
        <v>6.4935064935064934</v>
      </c>
      <c r="AF83" s="42">
        <f>Data!$S417</f>
        <v>0</v>
      </c>
      <c r="AG83" s="42">
        <f>Data!$S431</f>
        <v>0</v>
      </c>
      <c r="AH83" s="42">
        <f>Data!$S445</f>
        <v>0</v>
      </c>
      <c r="AI83" s="42">
        <f>Data!$S459</f>
        <v>0</v>
      </c>
      <c r="AJ83" s="42">
        <f>Data!$S473</f>
        <v>0</v>
      </c>
      <c r="AK83" s="42">
        <f>Data!$S487</f>
        <v>0</v>
      </c>
      <c r="AL83" s="42">
        <f>Data!$S501</f>
        <v>0</v>
      </c>
      <c r="AM83" s="42">
        <f>Data!$S515</f>
        <v>0</v>
      </c>
      <c r="AN83" s="42">
        <f>Data!$S529</f>
        <v>0</v>
      </c>
      <c r="AO83" s="42">
        <f>Data!$S543</f>
        <v>0</v>
      </c>
      <c r="AP83" s="42">
        <f>Data!$S557</f>
        <v>0</v>
      </c>
      <c r="AQ83" s="42">
        <f>Data!$S571</f>
        <v>0</v>
      </c>
      <c r="AR83" s="42">
        <f>Data!$S585</f>
        <v>0</v>
      </c>
      <c r="AS83" s="42">
        <f>Data!$S599</f>
        <v>0</v>
      </c>
      <c r="AT83" s="42">
        <f>Data!$S613</f>
        <v>0</v>
      </c>
      <c r="AU83" s="42">
        <f>Data!$S627</f>
        <v>0</v>
      </c>
      <c r="AV83" s="42">
        <f>Data!$S641</f>
        <v>0</v>
      </c>
      <c r="AW83" s="42">
        <f>Data!$S655</f>
        <v>0</v>
      </c>
      <c r="AX83" s="42">
        <f>Data!$S669</f>
        <v>0</v>
      </c>
      <c r="AY83" s="42">
        <f>Data!$S683</f>
        <v>0</v>
      </c>
      <c r="AZ83" s="42">
        <f>Data!$S697</f>
        <v>0</v>
      </c>
      <c r="BA83" s="42">
        <f>Data!$S711</f>
        <v>0</v>
      </c>
      <c r="BB83" s="42">
        <f>Data!$S725</f>
        <v>0</v>
      </c>
      <c r="BC83" s="42">
        <f>Data!$S739</f>
        <v>0</v>
      </c>
      <c r="BD83" s="42">
        <f>Data!$S753</f>
        <v>0</v>
      </c>
      <c r="BE83" s="42">
        <f>Data!$S767</f>
        <v>0</v>
      </c>
      <c r="BF83" s="42">
        <f>Data!$S781</f>
        <v>0</v>
      </c>
      <c r="BG83" s="42">
        <f>Data!$S795</f>
        <v>0</v>
      </c>
      <c r="BH83" s="42">
        <f>Data!$S809</f>
        <v>0</v>
      </c>
      <c r="BI83" s="42">
        <f>Data!$S823</f>
        <v>0</v>
      </c>
      <c r="BJ83" s="42">
        <f>Data!$S837</f>
        <v>0</v>
      </c>
      <c r="BK83" s="42">
        <f>Data!$S851</f>
        <v>0</v>
      </c>
      <c r="BL83" s="42">
        <f>Data!$S865</f>
        <v>0</v>
      </c>
    </row>
    <row r="84" spans="2:64" x14ac:dyDescent="0.3">
      <c r="B84" t="str">
        <f>B70</f>
        <v>NFLD</v>
      </c>
      <c r="C84" s="42">
        <f>Data!$S12</f>
        <v>0</v>
      </c>
      <c r="D84" s="42">
        <f>Data!$S26</f>
        <v>34.351145038167935</v>
      </c>
      <c r="E84" s="42">
        <f>Data!$S40</f>
        <v>26.717557251908396</v>
      </c>
      <c r="F84" s="42">
        <f>Data!$S54</f>
        <v>7.6335877862595414</v>
      </c>
      <c r="G84" s="42">
        <f>Data!$S68</f>
        <v>43.893129770992367</v>
      </c>
      <c r="H84" s="42">
        <f>Data!$S82</f>
        <v>15.267175572519083</v>
      </c>
      <c r="I84" s="42">
        <f>Data!$S96</f>
        <v>22.900763358778626</v>
      </c>
      <c r="J84" s="42">
        <f>Data!$S110</f>
        <v>15.267175572519083</v>
      </c>
      <c r="K84" s="42">
        <f>Data!$S124</f>
        <v>21.946564885496183</v>
      </c>
      <c r="L84" s="42">
        <f>Data!$S138</f>
        <v>3.8167938931297707</v>
      </c>
      <c r="M84" s="42">
        <f>Data!$S152</f>
        <v>7.6335877862595414</v>
      </c>
      <c r="N84" s="42">
        <f>Data!$S166</f>
        <v>7.6335877862595414</v>
      </c>
      <c r="O84" s="42">
        <f>Data!$S180</f>
        <v>5.7251908396946565</v>
      </c>
      <c r="P84" s="42">
        <f>Data!$S194</f>
        <v>3.8167938931297707</v>
      </c>
      <c r="Q84" s="42">
        <f>Data!$S208</f>
        <v>0</v>
      </c>
      <c r="R84" s="42">
        <f>Data!$S222</f>
        <v>5.7251908396946565</v>
      </c>
      <c r="S84" s="42">
        <f>Data!$S236</f>
        <v>5.7251908396946565</v>
      </c>
      <c r="T84" s="42">
        <f>Data!$S250</f>
        <v>9.5419847328244263</v>
      </c>
      <c r="U84" s="42">
        <f>Data!$S264</f>
        <v>7.6335877862595414</v>
      </c>
      <c r="V84" s="42">
        <f>Data!$S278</f>
        <v>0</v>
      </c>
      <c r="W84" s="42">
        <f>Data!$S292</f>
        <v>0</v>
      </c>
      <c r="X84" s="42">
        <f>Data!$S306</f>
        <v>0</v>
      </c>
      <c r="Y84" s="42">
        <f>Data!$S320</f>
        <v>0</v>
      </c>
      <c r="Z84" s="42">
        <f>Data!$S334</f>
        <v>0</v>
      </c>
      <c r="AA84" s="42">
        <f>Data!$S348</f>
        <v>0</v>
      </c>
      <c r="AB84" s="42">
        <f>Data!$S362</f>
        <v>1.9083969465648853</v>
      </c>
      <c r="AC84" s="42">
        <f>Data!$S376</f>
        <v>0</v>
      </c>
      <c r="AD84" s="42">
        <f>Data!$S390</f>
        <v>1.9083969465648853</v>
      </c>
      <c r="AE84" s="42">
        <f>Data!$S404</f>
        <v>0</v>
      </c>
      <c r="AF84" s="42">
        <f>Data!$S418</f>
        <v>0</v>
      </c>
      <c r="AG84" s="42">
        <f>Data!$S432</f>
        <v>1.9083969465648853</v>
      </c>
      <c r="AH84" s="42">
        <f>Data!$S446</f>
        <v>0</v>
      </c>
      <c r="AI84" s="42">
        <f>Data!$S460</f>
        <v>0</v>
      </c>
      <c r="AJ84" s="42">
        <f>Data!$S474</f>
        <v>0</v>
      </c>
      <c r="AK84" s="42">
        <f>Data!$S488</f>
        <v>0</v>
      </c>
      <c r="AL84" s="42">
        <f>Data!$S502</f>
        <v>3.8167938931297707</v>
      </c>
      <c r="AM84" s="42">
        <f>Data!$S516</f>
        <v>0</v>
      </c>
      <c r="AN84" s="42">
        <f>Data!$S530</f>
        <v>0</v>
      </c>
      <c r="AO84" s="42">
        <f>Data!$S544</f>
        <v>0</v>
      </c>
      <c r="AP84" s="42">
        <f>Data!$S558</f>
        <v>0</v>
      </c>
      <c r="AQ84" s="42">
        <f>Data!$S572</f>
        <v>0</v>
      </c>
      <c r="AR84" s="42">
        <f>Data!$S586</f>
        <v>0</v>
      </c>
      <c r="AS84" s="42">
        <v>0</v>
      </c>
      <c r="AT84" s="42">
        <f>Data!$S614</f>
        <v>0</v>
      </c>
      <c r="AU84" s="42">
        <f>Data!$S628</f>
        <v>0</v>
      </c>
      <c r="AV84" s="42">
        <f>Data!$S642</f>
        <v>0</v>
      </c>
      <c r="AW84" s="42">
        <f>Data!$S656</f>
        <v>0</v>
      </c>
      <c r="AX84" s="42">
        <f>Data!$S670</f>
        <v>0</v>
      </c>
      <c r="AY84" s="42">
        <f>Data!$S684</f>
        <v>0</v>
      </c>
      <c r="AZ84" s="42">
        <f>Data!$S698</f>
        <v>0</v>
      </c>
      <c r="BA84" s="42">
        <f>Data!$S712</f>
        <v>0</v>
      </c>
      <c r="BB84" s="42">
        <f>Data!$S726</f>
        <v>0</v>
      </c>
      <c r="BC84" s="42">
        <f>Data!$S740</f>
        <v>0</v>
      </c>
      <c r="BD84" s="42">
        <f>Data!$S754</f>
        <v>1.9083969465648853</v>
      </c>
      <c r="BE84" s="42">
        <f>Data!$S768</f>
        <v>0</v>
      </c>
      <c r="BF84" s="42">
        <f>Data!$S782</f>
        <v>0</v>
      </c>
      <c r="BG84" s="42">
        <f>Data!$S796</f>
        <v>0</v>
      </c>
      <c r="BH84" s="42">
        <f>Data!$S810</f>
        <v>0</v>
      </c>
      <c r="BI84" s="42">
        <f>Data!$S824</f>
        <v>0</v>
      </c>
      <c r="BJ84" s="42">
        <f>Data!$S838</f>
        <v>0</v>
      </c>
      <c r="BK84" s="42">
        <f>Data!$S852</f>
        <v>0</v>
      </c>
      <c r="BL84" s="42">
        <f>Data!$S866</f>
        <v>0</v>
      </c>
    </row>
    <row r="85" spans="2:64" x14ac:dyDescent="0.3">
      <c r="B85" t="str">
        <f t="shared" ref="B85:B86" si="11">B71</f>
        <v>Canada</v>
      </c>
      <c r="C85" s="42">
        <f>Data!$S13</f>
        <v>0</v>
      </c>
      <c r="D85" s="42">
        <f>Data!$S27</f>
        <v>30.345744680851062</v>
      </c>
      <c r="E85" s="42">
        <f>Data!$S41</f>
        <v>20.877659574468083</v>
      </c>
      <c r="F85" s="42">
        <f>Data!$S55</f>
        <v>30.398936170212764</v>
      </c>
      <c r="G85" s="42">
        <f>Data!$S69</f>
        <v>30.345744680851062</v>
      </c>
      <c r="H85" s="42">
        <f>Data!$S83</f>
        <v>41.25</v>
      </c>
      <c r="I85" s="42">
        <f>Data!$S97</f>
        <v>30.824468085106382</v>
      </c>
      <c r="J85" s="42">
        <f>Data!$S111</f>
        <v>41.914893617021278</v>
      </c>
      <c r="K85" s="42">
        <f>Data!$S125</f>
        <v>33.776595744680847</v>
      </c>
      <c r="L85" s="42">
        <f>Data!$S139</f>
        <v>35.611702127659576</v>
      </c>
      <c r="M85" s="42">
        <f>Data!$S153</f>
        <v>37.047872340425528</v>
      </c>
      <c r="N85" s="42">
        <f>Data!$S167</f>
        <v>39.228723404255319</v>
      </c>
      <c r="O85" s="42">
        <f>Data!$S181</f>
        <v>36.781914893617021</v>
      </c>
      <c r="P85" s="42">
        <f>Data!$S195</f>
        <v>31.117021276595743</v>
      </c>
      <c r="Q85" s="42">
        <f>Data!$S209</f>
        <v>31.409574468085104</v>
      </c>
      <c r="R85" s="42">
        <f>Data!$S223</f>
        <v>36.781914893617021</v>
      </c>
      <c r="S85" s="42">
        <f>Data!$S237</f>
        <v>35.478723404255319</v>
      </c>
      <c r="T85" s="42">
        <f>Data!$S251</f>
        <v>45.452127659574465</v>
      </c>
      <c r="U85" s="42">
        <f>Data!$S265</f>
        <v>48.430851063829785</v>
      </c>
      <c r="V85" s="42">
        <f>Data!$S279</f>
        <v>38.723404255319146</v>
      </c>
      <c r="W85" s="42">
        <f>Data!$S293</f>
        <v>45.851063829787229</v>
      </c>
      <c r="X85" s="42">
        <f>Data!$S307</f>
        <v>42.845744680851062</v>
      </c>
      <c r="Y85" s="42">
        <f>Data!$S321</f>
        <v>46.48936170212766</v>
      </c>
      <c r="Z85" s="42">
        <f>Data!$S335</f>
        <v>51.063829787234042</v>
      </c>
      <c r="AA85" s="42">
        <f>Data!$S349</f>
        <v>47.287234042553187</v>
      </c>
      <c r="AB85" s="42">
        <f>Data!$S363</f>
        <v>38.75</v>
      </c>
      <c r="AC85" s="42">
        <f>Data!$S377</f>
        <v>41.954787234042549</v>
      </c>
      <c r="AD85" s="42">
        <f>Data!$S391</f>
        <v>40.585106382978722</v>
      </c>
      <c r="AE85" s="42">
        <f>Data!$S405</f>
        <v>41.781914893617021</v>
      </c>
      <c r="AF85" s="42">
        <f>Data!$S419</f>
        <v>43.590425531914889</v>
      </c>
      <c r="AG85" s="42">
        <f>Data!$S433</f>
        <v>48.537234042553187</v>
      </c>
      <c r="AH85" s="42">
        <f>Data!$S447</f>
        <v>43.962765957446805</v>
      </c>
      <c r="AI85" s="42">
        <f>Data!$S461</f>
        <v>53.962765957446805</v>
      </c>
      <c r="AJ85" s="42">
        <f>Data!$S475</f>
        <v>33.882978723404257</v>
      </c>
      <c r="AK85" s="42">
        <f>Data!$S489</f>
        <v>36.702127659574465</v>
      </c>
      <c r="AL85" s="42">
        <f>Data!$S503</f>
        <v>37.473404255319146</v>
      </c>
      <c r="AM85" s="42">
        <f>Data!$S517</f>
        <v>42.526595744680847</v>
      </c>
      <c r="AN85" s="42">
        <f>Data!$S531</f>
        <v>33.723404255319146</v>
      </c>
      <c r="AO85" s="42">
        <f>Data!$S545</f>
        <v>30.305851063829785</v>
      </c>
      <c r="AP85" s="42">
        <f>Data!$S559</f>
        <v>31.276595744680851</v>
      </c>
      <c r="AQ85" s="42">
        <f>Data!$S573</f>
        <v>29.840425531914892</v>
      </c>
      <c r="AR85" s="42">
        <f>Data!$S587</f>
        <v>32.154255319148938</v>
      </c>
      <c r="AS85" s="42">
        <f>Data!$S601</f>
        <v>29.601063829787233</v>
      </c>
      <c r="AT85" s="42">
        <f>Data!$S615</f>
        <v>33.590425531914896</v>
      </c>
      <c r="AU85" s="42">
        <f>Data!$S629</f>
        <v>29.361702127659573</v>
      </c>
      <c r="AV85" s="42">
        <f>Data!$S643</f>
        <v>27.659574468085104</v>
      </c>
      <c r="AW85" s="42">
        <f>Data!$S657</f>
        <v>27.393617021276594</v>
      </c>
      <c r="AX85" s="42">
        <f>Data!$S671</f>
        <v>31.436170212765955</v>
      </c>
      <c r="AY85" s="42">
        <f>Data!$S685</f>
        <v>30.74468085106383</v>
      </c>
      <c r="AZ85" s="42">
        <f>Data!$S699</f>
        <v>29.521276595744681</v>
      </c>
      <c r="BA85" s="42">
        <f>Data!$S713</f>
        <v>28.191489361702125</v>
      </c>
      <c r="BB85" s="42">
        <f>Data!$S727</f>
        <v>24.920212765957444</v>
      </c>
      <c r="BC85" s="42">
        <f>Data!$S741</f>
        <v>23.191489361702128</v>
      </c>
      <c r="BD85" s="42">
        <f>Data!$S755</f>
        <v>26.409574468085104</v>
      </c>
      <c r="BE85" s="42">
        <f>Data!$S769</f>
        <v>24.095744680851062</v>
      </c>
      <c r="BF85" s="42">
        <f>Data!$S783</f>
        <v>20.531914893617021</v>
      </c>
      <c r="BG85" s="42">
        <f>Data!$S797</f>
        <v>20.146276595744681</v>
      </c>
      <c r="BH85" s="42">
        <f>Data!$S811</f>
        <v>18.75</v>
      </c>
      <c r="BI85" s="42">
        <f>Data!$S825</f>
        <v>17.952127659574469</v>
      </c>
      <c r="BJ85" s="42">
        <f>Data!$S839</f>
        <v>17.047872340425531</v>
      </c>
      <c r="BK85" s="42">
        <f>Data!$S853</f>
        <v>16.196808510638299</v>
      </c>
      <c r="BL85" s="42">
        <f>Data!$S867</f>
        <v>19.202127659574469</v>
      </c>
    </row>
    <row r="86" spans="2:64" x14ac:dyDescent="0.3">
      <c r="B86" t="str">
        <f t="shared" si="11"/>
        <v>USA</v>
      </c>
      <c r="C86" s="42">
        <f>Data!$S14</f>
        <v>0</v>
      </c>
      <c r="D86" s="42">
        <f>Data!$S28</f>
        <v>57.556574923547402</v>
      </c>
      <c r="E86" s="42">
        <f>Data!$S42</f>
        <v>64.672782874617738</v>
      </c>
      <c r="F86" s="42">
        <f>Data!$S56</f>
        <v>74.128440366972484</v>
      </c>
      <c r="G86" s="42">
        <f>Data!$S70</f>
        <v>79.510703363914374</v>
      </c>
      <c r="H86" s="42">
        <f>Data!$S84</f>
        <v>86.357798165137609</v>
      </c>
      <c r="I86" s="42">
        <f>Data!$S98</f>
        <v>111.7217125382263</v>
      </c>
      <c r="J86" s="42">
        <f>Data!$S112</f>
        <v>102.61467889908256</v>
      </c>
      <c r="K86" s="42">
        <f>Data!$S126</f>
        <v>83.666666666666671</v>
      </c>
      <c r="L86" s="42">
        <f>Data!$S140</f>
        <v>93.287461773700301</v>
      </c>
      <c r="M86" s="42">
        <f>Data!$S154</f>
        <v>91.960244648318039</v>
      </c>
      <c r="N86" s="42">
        <f>Data!$S168</f>
        <v>104.22935779816514</v>
      </c>
      <c r="O86" s="42">
        <f>Data!$S182</f>
        <v>99.944954128440372</v>
      </c>
      <c r="P86" s="42">
        <f>Data!$S196</f>
        <v>97.9908256880734</v>
      </c>
      <c r="Q86" s="42">
        <f>Data!$S210</f>
        <v>81.918960244648318</v>
      </c>
      <c r="R86" s="42">
        <f>Data!$S224</f>
        <v>78.590214067278282</v>
      </c>
      <c r="S86" s="42">
        <f>Data!$S238</f>
        <v>92.302752293577981</v>
      </c>
      <c r="T86" s="42">
        <f>Data!$S252</f>
        <v>93.590214067278282</v>
      </c>
      <c r="U86" s="42">
        <f>Data!$S266</f>
        <v>95.596330275229363</v>
      </c>
      <c r="V86" s="42">
        <f>Data!$S280</f>
        <v>84.59327217125383</v>
      </c>
      <c r="W86" s="42">
        <f>Data!$S294</f>
        <v>76.975535168195719</v>
      </c>
      <c r="X86" s="42">
        <f>Data!$S308</f>
        <v>83.159021406727831</v>
      </c>
      <c r="Y86" s="42">
        <f>Data!$S322</f>
        <v>83.238532110091739</v>
      </c>
      <c r="Z86" s="42">
        <f>Data!$S336</f>
        <v>99.027522935779814</v>
      </c>
      <c r="AA86" s="42">
        <f>Data!$S350</f>
        <v>96.324159021406729</v>
      </c>
      <c r="AB86" s="42">
        <f>Data!$S364</f>
        <v>126.68501529051987</v>
      </c>
      <c r="AC86" s="42">
        <f>Data!$S378</f>
        <v>74.758409785932727</v>
      </c>
      <c r="AD86" s="42">
        <f>Data!$S392</f>
        <v>74.795107033639141</v>
      </c>
      <c r="AE86" s="42">
        <f>Data!$S406</f>
        <v>134.06422018348624</v>
      </c>
      <c r="AF86" s="42">
        <f>Data!$S420</f>
        <v>92.840978593272169</v>
      </c>
      <c r="AG86" s="42">
        <f>Data!$S434</f>
        <v>110.18654434250764</v>
      </c>
      <c r="AH86" s="42">
        <f>Data!$S448</f>
        <v>111.64220183486239</v>
      </c>
      <c r="AI86" s="42">
        <f>Data!$S462</f>
        <v>84.440366972477065</v>
      </c>
      <c r="AJ86" s="42">
        <f>Data!$S476</f>
        <v>58.290519877675841</v>
      </c>
      <c r="AK86" s="42">
        <f>Data!$S490</f>
        <v>88.75535168195718</v>
      </c>
      <c r="AL86" s="42">
        <f>Data!$S504</f>
        <v>97.422018348623851</v>
      </c>
      <c r="AM86" s="42">
        <f>Data!$S518</f>
        <v>76.718654434250766</v>
      </c>
      <c r="AN86" s="42">
        <f>Data!$S532</f>
        <v>89.339449541284409</v>
      </c>
      <c r="AO86" s="42">
        <f>Data!$S546</f>
        <v>59.01223241590214</v>
      </c>
      <c r="AP86" s="42">
        <f>Data!$S560</f>
        <v>66.932721712538225</v>
      </c>
      <c r="AQ86" s="42">
        <f>Data!$S574</f>
        <v>92.862385321100916</v>
      </c>
      <c r="AR86" s="42">
        <f>Data!$S588</f>
        <v>44.477064220183486</v>
      </c>
      <c r="AS86" s="42">
        <f>Data!$S602</f>
        <v>84.467889908256879</v>
      </c>
      <c r="AT86" s="42">
        <f>Data!$S616</f>
        <v>83.207951070336392</v>
      </c>
      <c r="AU86" s="42">
        <f>Data!$S630</f>
        <v>62.744648318042813</v>
      </c>
      <c r="AV86" s="42">
        <f>Data!$S644</f>
        <v>69.941896024464839</v>
      </c>
      <c r="AW86" s="42">
        <f>Data!$S658</f>
        <v>50.311926605504588</v>
      </c>
      <c r="AX86" s="42">
        <f>Data!$S672</f>
        <v>61.541284403669728</v>
      </c>
      <c r="AY86" s="42">
        <f>Data!$S686</f>
        <v>107.29969418960245</v>
      </c>
      <c r="AZ86" s="42">
        <f>Data!$S700</f>
        <v>70.174311926605498</v>
      </c>
      <c r="BA86" s="42">
        <f>Data!$S714</f>
        <v>61.177370030581038</v>
      </c>
      <c r="BB86" s="42">
        <f>Data!$S728</f>
        <v>52.021406727828747</v>
      </c>
      <c r="BC86" s="42">
        <f>Data!$S742</f>
        <v>66.785932721712541</v>
      </c>
      <c r="BD86" s="42">
        <f>Data!$S756</f>
        <v>65.519877675840974</v>
      </c>
      <c r="BE86" s="42">
        <f>Data!$S770</f>
        <v>77.370030581039757</v>
      </c>
      <c r="BF86" s="42">
        <f>Data!$S784</f>
        <v>72.688073394495419</v>
      </c>
      <c r="BG86" s="42">
        <f>Data!$S798</f>
        <v>59.223241590214066</v>
      </c>
      <c r="BH86" s="42">
        <f>Data!$S812</f>
        <v>74.59327217125383</v>
      </c>
      <c r="BI86" s="42">
        <f>Data!$S826</f>
        <v>67.691131498470952</v>
      </c>
      <c r="BJ86" s="42">
        <f>Data!$S840</f>
        <v>69.13455657492355</v>
      </c>
      <c r="BK86" s="42">
        <f>Data!$S854</f>
        <v>102.75229357798165</v>
      </c>
      <c r="BL86" s="42">
        <f>Data!$S868</f>
        <v>93.064220183486242</v>
      </c>
    </row>
    <row r="88" spans="2:64" x14ac:dyDescent="0.3">
      <c r="B88" t="s">
        <v>47</v>
      </c>
      <c r="C88" s="29">
        <v>43917</v>
      </c>
      <c r="D88" s="29">
        <v>43918</v>
      </c>
      <c r="E88" s="29">
        <v>43920</v>
      </c>
      <c r="F88" s="29" t="s">
        <v>46</v>
      </c>
      <c r="G88" s="29">
        <v>43922</v>
      </c>
      <c r="H88" s="29">
        <v>43923</v>
      </c>
      <c r="I88" s="29">
        <v>43924</v>
      </c>
      <c r="J88" s="29">
        <v>43925</v>
      </c>
      <c r="K88" s="29">
        <v>43927</v>
      </c>
      <c r="L88" s="29">
        <v>43928</v>
      </c>
      <c r="M88" s="29">
        <v>43929</v>
      </c>
      <c r="N88" s="29">
        <v>43930</v>
      </c>
      <c r="O88" s="29">
        <v>43931</v>
      </c>
      <c r="P88" s="29">
        <v>43932</v>
      </c>
      <c r="Q88" s="29">
        <v>43934</v>
      </c>
      <c r="R88" s="29">
        <v>43935</v>
      </c>
      <c r="S88" s="29">
        <v>43936</v>
      </c>
      <c r="T88" s="29">
        <v>43937</v>
      </c>
      <c r="U88" s="29">
        <v>43938</v>
      </c>
      <c r="V88" s="29">
        <v>43939</v>
      </c>
      <c r="W88" s="29">
        <v>43941</v>
      </c>
      <c r="X88" s="29">
        <v>43942</v>
      </c>
      <c r="Y88" s="29">
        <v>43943</v>
      </c>
      <c r="Z88" s="29">
        <v>43944</v>
      </c>
      <c r="AA88" s="29">
        <v>43945</v>
      </c>
      <c r="AB88" s="29">
        <v>43946</v>
      </c>
      <c r="AC88" s="29">
        <v>43948</v>
      </c>
      <c r="AD88" s="29">
        <v>43949</v>
      </c>
      <c r="AE88" s="29">
        <v>43950</v>
      </c>
      <c r="AF88" s="29">
        <v>43951</v>
      </c>
      <c r="AG88" s="29">
        <v>43952</v>
      </c>
      <c r="AH88" s="29">
        <v>43953</v>
      </c>
      <c r="AI88" s="29">
        <v>43955</v>
      </c>
      <c r="AJ88" s="29">
        <v>43956</v>
      </c>
      <c r="AK88" s="29">
        <v>43957</v>
      </c>
      <c r="AL88" s="29">
        <v>43958</v>
      </c>
      <c r="AM88" s="29">
        <v>43959</v>
      </c>
      <c r="AN88" s="29">
        <v>43960</v>
      </c>
      <c r="AO88" s="29">
        <v>43962</v>
      </c>
      <c r="AP88" s="29">
        <v>43963</v>
      </c>
      <c r="AQ88" s="29">
        <v>43964</v>
      </c>
      <c r="AR88" s="29">
        <v>43965</v>
      </c>
      <c r="AS88" s="29">
        <v>43966</v>
      </c>
      <c r="AT88" s="29">
        <v>43967</v>
      </c>
      <c r="AU88" s="29">
        <v>43969</v>
      </c>
      <c r="AV88" s="29">
        <v>43970</v>
      </c>
      <c r="AW88" s="29">
        <v>43971</v>
      </c>
      <c r="AX88" s="29">
        <v>43972</v>
      </c>
      <c r="AY88" s="29">
        <v>43973</v>
      </c>
      <c r="AZ88" s="29">
        <v>43974</v>
      </c>
      <c r="BA88" s="29">
        <v>43976</v>
      </c>
      <c r="BB88" s="29">
        <v>43977</v>
      </c>
      <c r="BC88" s="29">
        <v>43978</v>
      </c>
      <c r="BD88" s="29">
        <v>43979</v>
      </c>
      <c r="BE88" s="29">
        <v>43980</v>
      </c>
      <c r="BF88" s="29">
        <v>43981</v>
      </c>
      <c r="BG88" s="29">
        <v>43983</v>
      </c>
      <c r="BH88" s="29">
        <v>43984</v>
      </c>
      <c r="BI88" s="29">
        <v>43985</v>
      </c>
      <c r="BJ88" s="29">
        <v>43986</v>
      </c>
      <c r="BK88" s="29">
        <v>43987</v>
      </c>
      <c r="BL88" s="29">
        <v>43988</v>
      </c>
    </row>
    <row r="89" spans="2:64" x14ac:dyDescent="0.3">
      <c r="B89" t="str">
        <f>B75</f>
        <v>Ontario</v>
      </c>
      <c r="C89" s="94">
        <f>Data!$T3</f>
        <v>0</v>
      </c>
      <c r="D89" s="94">
        <f>Data!$T17</f>
        <v>0.20761245674740486</v>
      </c>
      <c r="E89" s="94">
        <f>Data!$T31</f>
        <v>0.83044982698961944</v>
      </c>
      <c r="F89" s="94">
        <f>Data!$T45</f>
        <v>0</v>
      </c>
      <c r="G89" s="94">
        <f>Data!$T59</f>
        <v>0.27681660899653981</v>
      </c>
      <c r="H89" s="94">
        <f>Data!$T73</f>
        <v>1.1072664359861593</v>
      </c>
      <c r="I89" s="94">
        <f>Data!$T87</f>
        <v>0.96885813148788935</v>
      </c>
      <c r="J89" s="94">
        <f>Data!$T101</f>
        <v>1.8685121107266436</v>
      </c>
      <c r="K89" s="94">
        <f>Data!$T115</f>
        <v>1.3148788927335642</v>
      </c>
      <c r="L89" s="94">
        <f>Data!$T129</f>
        <v>1.453287197231834</v>
      </c>
      <c r="M89" s="94">
        <f>Data!$T143</f>
        <v>1.453287197231834</v>
      </c>
      <c r="N89" s="94">
        <f>Data!$T157</f>
        <v>1.7993079584775087</v>
      </c>
      <c r="O89" s="94">
        <f>Data!$T171</f>
        <v>1.5224913494809689</v>
      </c>
      <c r="P89" s="94">
        <f>Data!$T185</f>
        <v>2.1453287197231834</v>
      </c>
      <c r="Q89" s="94">
        <f>Data!$T199</f>
        <v>1.3148788927335642</v>
      </c>
      <c r="R89" s="94">
        <f>Data!$T213</f>
        <v>2.9757785467128031</v>
      </c>
      <c r="S89" s="94">
        <f>Data!$T227</f>
        <v>3.5294117647058827</v>
      </c>
      <c r="T89" s="94">
        <f>Data!$T241</f>
        <v>2.6297577854671284</v>
      </c>
      <c r="U89" s="94">
        <f>Data!$T255</f>
        <v>3.8062283737024223</v>
      </c>
      <c r="V89" s="94">
        <f>Data!$T269</f>
        <v>2.4913494809688581</v>
      </c>
      <c r="W89" s="94">
        <f>Data!$T283</f>
        <v>2.4221453287197234</v>
      </c>
      <c r="X89" s="94">
        <f>Data!$T297</f>
        <v>2.6297577854671284</v>
      </c>
      <c r="Y89" s="94">
        <f>Data!$T311</f>
        <v>2.5605536332179932</v>
      </c>
      <c r="Z89" s="94">
        <f>Data!$T325</f>
        <v>3.7370242214532872</v>
      </c>
      <c r="AA89" s="94">
        <f>Data!$T339</f>
        <v>3.4602076124567476</v>
      </c>
      <c r="AB89" s="94">
        <f>Data!$T353</f>
        <v>3.3217993079584778</v>
      </c>
      <c r="AC89" s="94">
        <f>Data!$T367</f>
        <v>2.8027681660899657</v>
      </c>
      <c r="AD89" s="94">
        <f>Data!$T381</f>
        <v>4.0830449826989623</v>
      </c>
      <c r="AE89" s="94">
        <f>Data!$T395</f>
        <v>3.1141868512110729</v>
      </c>
      <c r="AF89" s="94">
        <f>Data!$T409</f>
        <v>5.9515570934256061</v>
      </c>
      <c r="AG89" s="94">
        <f>Data!$T423</f>
        <v>2.698961937716263</v>
      </c>
      <c r="AH89" s="94">
        <f>Data!$T437</f>
        <v>3.8062283737024223</v>
      </c>
      <c r="AI89" s="94">
        <f>Data!$T451</f>
        <v>4.2906574394463668</v>
      </c>
      <c r="AJ89" s="94">
        <f>Data!$T465</f>
        <v>4.2214532871972317</v>
      </c>
      <c r="AK89" s="94">
        <f>Data!$T479</f>
        <v>4.7058823529411766</v>
      </c>
      <c r="AL89" s="94">
        <f>Data!$T493</f>
        <v>3.3217993079584778</v>
      </c>
      <c r="AM89" s="94">
        <f>Data!$T507</f>
        <v>4.3598615916955019</v>
      </c>
      <c r="AN89" s="94">
        <f>Data!$T521</f>
        <v>4.0830449826989623</v>
      </c>
      <c r="AO89" s="94">
        <f>Data!$T535</f>
        <v>2.4221453287197234</v>
      </c>
      <c r="AP89" s="94">
        <f>Data!$T549</f>
        <v>3.8754325259515574</v>
      </c>
      <c r="AQ89" s="94">
        <f>Data!$T563</f>
        <v>2.7681660899653981</v>
      </c>
      <c r="AR89" s="94">
        <f>Data!$T577</f>
        <v>2.2837370242214532</v>
      </c>
      <c r="AS89" s="94">
        <f>Data!$T591</f>
        <v>1.8685121107266436</v>
      </c>
      <c r="AT89" s="94">
        <f>Data!$T605</f>
        <v>2.2837370242214532</v>
      </c>
      <c r="AU89" s="94">
        <f>Data!$T619</f>
        <v>1.591695501730104</v>
      </c>
      <c r="AV89" s="94">
        <f>Data!$T633</f>
        <v>1.0380622837370244</v>
      </c>
      <c r="AW89" s="94">
        <f>Data!$T647</f>
        <v>2.9757785467128031</v>
      </c>
      <c r="AX89" s="94">
        <f>Data!$T661</f>
        <v>2.1453287197231834</v>
      </c>
      <c r="AY89" s="94">
        <f>Data!$T675</f>
        <v>1.9377162629757787</v>
      </c>
      <c r="AZ89" s="94">
        <f>Data!$T689</f>
        <v>1.8685121107266436</v>
      </c>
      <c r="BA89" s="94">
        <f>Data!$T703</f>
        <v>1.8685121107266436</v>
      </c>
      <c r="BB89" s="94">
        <f>Data!$T717</f>
        <v>1.453287197231834</v>
      </c>
      <c r="BC89" s="94">
        <f>Data!$T731</f>
        <v>2.2145328719723185</v>
      </c>
      <c r="BD89" s="94">
        <f>Data!$T745</f>
        <v>2.3529411764705883</v>
      </c>
      <c r="BE89" s="94">
        <f>Data!$T759</f>
        <v>2.8373702422145328</v>
      </c>
      <c r="BF89" s="94">
        <f>Data!$T773</f>
        <v>1.1764705882352942</v>
      </c>
      <c r="BG89" s="94">
        <f>Data!$T787</f>
        <v>1.0034602076124568</v>
      </c>
      <c r="BH89" s="94">
        <f>Data!$T801</f>
        <v>1.1764705882352942</v>
      </c>
      <c r="BI89" s="94">
        <f>Data!$T815</f>
        <v>1.3148788927335642</v>
      </c>
      <c r="BJ89" s="94">
        <f>Data!$T829</f>
        <v>3.1141868512110729</v>
      </c>
      <c r="BK89" s="94">
        <f>Data!$T843</f>
        <v>1.0380622837370244</v>
      </c>
      <c r="BL89" s="94">
        <f>Data!$T857</f>
        <v>2.4221453287197234</v>
      </c>
    </row>
    <row r="90" spans="2:64" x14ac:dyDescent="0.3">
      <c r="B90" t="str">
        <f t="shared" ref="B90:B100" si="12">B76</f>
        <v>Quebec</v>
      </c>
      <c r="C90" s="94">
        <f>Data!$T4</f>
        <v>0</v>
      </c>
      <c r="D90" s="94">
        <f>Data!$T18</f>
        <v>0.47449584816132861</v>
      </c>
      <c r="E90" s="94">
        <f>Data!$T32</f>
        <v>0.35587188612099646</v>
      </c>
      <c r="F90" s="94">
        <f>Data!$T46</f>
        <v>0.71174377224199292</v>
      </c>
      <c r="G90" s="94">
        <f>Data!$T60</f>
        <v>0.23724792408066431</v>
      </c>
      <c r="H90" s="94">
        <f>Data!$T74</f>
        <v>0.35587188612099646</v>
      </c>
      <c r="I90" s="94">
        <f>Data!$T88</f>
        <v>2.9655990510083039</v>
      </c>
      <c r="J90" s="94">
        <f>Data!$T102</f>
        <v>1.66073546856465</v>
      </c>
      <c r="K90" s="94">
        <f>Data!$T116</f>
        <v>2.7283511269276395</v>
      </c>
      <c r="L90" s="94">
        <f>Data!$T130</f>
        <v>3.4400948991696323</v>
      </c>
      <c r="M90" s="94">
        <f>Data!$T144</f>
        <v>2.9655990510083039</v>
      </c>
      <c r="N90" s="94">
        <f>Data!$T158</f>
        <v>4.8635824436536179</v>
      </c>
      <c r="O90" s="94">
        <f>Data!$T172</f>
        <v>2.9655990510083039</v>
      </c>
      <c r="P90" s="94">
        <f>Data!$T186</f>
        <v>5.6939501779359434</v>
      </c>
      <c r="Q90" s="94">
        <f>Data!$T200</f>
        <v>4.2111506524317912</v>
      </c>
      <c r="R90" s="94">
        <f>Data!$T214</f>
        <v>8.8967971530249113</v>
      </c>
      <c r="S90" s="94">
        <f>Data!$T228</f>
        <v>6.1684460260972722</v>
      </c>
      <c r="T90" s="94">
        <f>Data!$T242</f>
        <v>16.963226571767496</v>
      </c>
      <c r="U90" s="94">
        <f>Data!$T256</f>
        <v>6.8801897983392646</v>
      </c>
      <c r="V90" s="94">
        <f>Data!$T270</f>
        <v>13.879003558718862</v>
      </c>
      <c r="W90" s="94">
        <f>Data!$T284</f>
        <v>7.9478054567022545</v>
      </c>
      <c r="X90" s="94">
        <f>Data!$T298</f>
        <v>12.09964412811388</v>
      </c>
      <c r="Y90" s="94">
        <f>Data!$T312</f>
        <v>11.032028469750889</v>
      </c>
      <c r="Z90" s="94">
        <f>Data!$T326</f>
        <v>12.930011862396205</v>
      </c>
      <c r="AA90" s="94">
        <f>Data!$T340</f>
        <v>11.506524317912218</v>
      </c>
      <c r="AB90" s="94">
        <f>Data!$T354</f>
        <v>12.574139976275209</v>
      </c>
      <c r="AC90" s="94">
        <f>Data!$T368</f>
        <v>9.07473309608541</v>
      </c>
      <c r="AD90" s="94">
        <f>Data!$T382</f>
        <v>9.8457888493475689</v>
      </c>
      <c r="AE90" s="94">
        <f>Data!$T396</f>
        <v>9.3712930011862401</v>
      </c>
      <c r="AF90" s="94">
        <f>Data!$T410</f>
        <v>11.625148279952551</v>
      </c>
      <c r="AG90" s="94">
        <f>Data!$T424</f>
        <v>19.33570581257414</v>
      </c>
      <c r="AH90" s="94">
        <f>Data!$T438</f>
        <v>13.523131672597865</v>
      </c>
      <c r="AI90" s="94">
        <f>Data!$T452</f>
        <v>8.5409252669039155</v>
      </c>
      <c r="AJ90" s="94">
        <f>Data!$T466</f>
        <v>13.997627520759194</v>
      </c>
      <c r="AK90" s="94">
        <f>Data!$T480</f>
        <v>13.2858837485172</v>
      </c>
      <c r="AL90" s="94">
        <f>Data!$T494</f>
        <v>14.353499406880191</v>
      </c>
      <c r="AM90" s="94">
        <f>Data!$T508</f>
        <v>11.150652431791222</v>
      </c>
      <c r="AN90" s="94">
        <f>Data!$T522</f>
        <v>7.2360616844602612</v>
      </c>
      <c r="AO90" s="94">
        <f>Data!$T536</f>
        <v>13.463819691577699</v>
      </c>
      <c r="AP90" s="94">
        <f>Data!$T550</f>
        <v>13.997627520759194</v>
      </c>
      <c r="AQ90" s="94">
        <f>Data!$T564</f>
        <v>10.557532621589562</v>
      </c>
      <c r="AR90" s="94">
        <f>Data!$T578</f>
        <v>15.539739027283511</v>
      </c>
      <c r="AS90" s="94">
        <f>Data!$T592</f>
        <v>5.9311981020166078</v>
      </c>
      <c r="AT90" s="94">
        <f>Data!$T606</f>
        <v>9.7271648873072358</v>
      </c>
      <c r="AU90" s="94">
        <f>Data!$T620</f>
        <v>6.7022538552787667</v>
      </c>
      <c r="AV90" s="94">
        <f>Data!$T634</f>
        <v>6.04982206405694</v>
      </c>
      <c r="AW90" s="94">
        <f>Data!$T648</f>
        <v>8.4223013048635824</v>
      </c>
      <c r="AX90" s="94">
        <f>Data!$T662</f>
        <v>9.7271648873072358</v>
      </c>
      <c r="AY90" s="94">
        <f>Data!$T676</f>
        <v>7.71055753262159</v>
      </c>
      <c r="AZ90" s="94">
        <f>Data!$T690</f>
        <v>8.8967971530249113</v>
      </c>
      <c r="BA90" s="94">
        <f>Data!$T704</f>
        <v>7.6512455516014235</v>
      </c>
      <c r="BB90" s="94">
        <f>Data!$T718</f>
        <v>8.3036773428232511</v>
      </c>
      <c r="BC90" s="94">
        <f>Data!$T732</f>
        <v>10.557532621589562</v>
      </c>
      <c r="BD90" s="94">
        <f>Data!$T746</f>
        <v>8.7781731909845799</v>
      </c>
      <c r="BE90" s="94">
        <f>Data!$T760</f>
        <v>7.2360616844602612</v>
      </c>
      <c r="BF90" s="94">
        <f>Data!$T774</f>
        <v>9.0154211150652444</v>
      </c>
      <c r="BG90" s="94">
        <f>Data!$T788</f>
        <v>13.167259786476869</v>
      </c>
      <c r="BH90" s="94">
        <f>Data!$T802</f>
        <v>6.1684460260972722</v>
      </c>
      <c r="BI90" s="94">
        <f>Data!$T816</f>
        <v>9.6085409252669045</v>
      </c>
      <c r="BJ90" s="94">
        <f>Data!$T830</f>
        <v>10.794780545670227</v>
      </c>
      <c r="BK90" s="94">
        <f>Data!$T844</f>
        <v>5.9311981020166078</v>
      </c>
      <c r="BL90" s="94">
        <f>Data!$T858</f>
        <v>4.1518386714116255</v>
      </c>
    </row>
    <row r="91" spans="2:64" x14ac:dyDescent="0.3">
      <c r="B91" t="str">
        <f t="shared" si="12"/>
        <v>BC</v>
      </c>
      <c r="C91" s="94">
        <f>Data!$T5</f>
        <v>0</v>
      </c>
      <c r="D91" s="94">
        <f>Data!$T19</f>
        <v>0.19920318725099603</v>
      </c>
      <c r="E91" s="94">
        <f>Data!$T33</f>
        <v>0.39840637450199207</v>
      </c>
      <c r="F91" s="94">
        <f>Data!$T47</f>
        <v>0.99601593625498019</v>
      </c>
      <c r="G91" s="94">
        <f>Data!$T61</f>
        <v>0.19920318725099603</v>
      </c>
      <c r="H91" s="94">
        <f>Data!$T75</f>
        <v>1.1952191235059761</v>
      </c>
      <c r="I91" s="94">
        <f>Data!$T89</f>
        <v>0.79681274900398413</v>
      </c>
      <c r="J91" s="94">
        <f>Data!$T103</f>
        <v>0.59760956175298807</v>
      </c>
      <c r="K91" s="94">
        <f>Data!$T117</f>
        <v>9.9601593625498017E-2</v>
      </c>
      <c r="L91" s="94">
        <f>Data!$T131</f>
        <v>0.79681274900398413</v>
      </c>
      <c r="M91" s="94">
        <f>Data!$T145</f>
        <v>0.99601593625498019</v>
      </c>
      <c r="N91" s="94">
        <f>Data!$T159</f>
        <v>0.39840637450199207</v>
      </c>
      <c r="O91" s="94">
        <f>Data!$T173</f>
        <v>0.99601593625498019</v>
      </c>
      <c r="P91" s="94">
        <f>Data!$T187</f>
        <v>0.59760956175298807</v>
      </c>
      <c r="Q91" s="94">
        <f>Data!$T201</f>
        <v>1.0956175298804782</v>
      </c>
      <c r="R91" s="94">
        <f>Data!$T215</f>
        <v>0.59760956175298807</v>
      </c>
      <c r="S91" s="94">
        <f>Data!$T229</f>
        <v>0.59760956175298807</v>
      </c>
      <c r="T91" s="94">
        <f>Data!$T243</f>
        <v>0.59760956175298807</v>
      </c>
      <c r="U91" s="94">
        <f>Data!$T257</f>
        <v>0</v>
      </c>
      <c r="V91" s="94">
        <f>Data!$T271</f>
        <v>0.59760956175298807</v>
      </c>
      <c r="W91" s="94">
        <f>Data!$T285</f>
        <v>0.4980079681274901</v>
      </c>
      <c r="X91" s="94">
        <f>Data!$T299</f>
        <v>0.19920318725099603</v>
      </c>
      <c r="Y91" s="94">
        <f>Data!$T313</f>
        <v>0.59760956175298807</v>
      </c>
      <c r="Z91" s="94">
        <f>Data!$T327</f>
        <v>0.79681274900398413</v>
      </c>
      <c r="AA91" s="94">
        <f>Data!$T341</f>
        <v>0.79681274900398413</v>
      </c>
      <c r="AB91" s="94">
        <f>Data!$T355</f>
        <v>0.39840637450199207</v>
      </c>
      <c r="AC91" s="94">
        <f>Data!$T369</f>
        <v>0.29880478087649404</v>
      </c>
      <c r="AD91" s="94">
        <f>Data!$T383</f>
        <v>0.39840637450199207</v>
      </c>
      <c r="AE91" s="94">
        <f>Data!$T397</f>
        <v>0.79681274900398413</v>
      </c>
      <c r="AF91" s="94">
        <f>Data!$T411</f>
        <v>0.39840637450199207</v>
      </c>
      <c r="AG91" s="94">
        <f>Data!$T425</f>
        <v>0</v>
      </c>
      <c r="AH91" s="94">
        <f>Data!$T439</f>
        <v>0.19920318725099603</v>
      </c>
      <c r="AI91" s="94">
        <f>Data!$T453</f>
        <v>0.4980079681274901</v>
      </c>
      <c r="AJ91" s="94">
        <f>Data!$T467</f>
        <v>0.79681274900398413</v>
      </c>
      <c r="AK91" s="94">
        <f>Data!$T481</f>
        <v>0.59760956175298807</v>
      </c>
      <c r="AL91" s="94">
        <f>Data!$T495</f>
        <v>0.39840637450199207</v>
      </c>
      <c r="AM91" s="94">
        <f>Data!$T509</f>
        <v>0.19920318725099603</v>
      </c>
      <c r="AN91" s="94">
        <f>Data!$T523</f>
        <v>0.39840637450199207</v>
      </c>
      <c r="AO91" s="94">
        <f>Data!$T537</f>
        <v>9.9601593625498017E-2</v>
      </c>
      <c r="AP91" s="94">
        <f>Data!$T551</f>
        <v>0.19920318725099603</v>
      </c>
      <c r="AQ91" s="94">
        <f>Data!$T565</f>
        <v>0.19920318725099603</v>
      </c>
      <c r="AR91" s="94">
        <f>Data!$T579</f>
        <v>0.59760956175298807</v>
      </c>
      <c r="AS91" s="94">
        <f>Data!$T593</f>
        <v>0.99601593625498019</v>
      </c>
      <c r="AT91" s="94">
        <f>Data!$T607</f>
        <v>0.19920318725099603</v>
      </c>
      <c r="AU91" s="94">
        <f>Data!$T621</f>
        <v>0.19920318725099603</v>
      </c>
      <c r="AV91" s="94">
        <f>Data!$T635</f>
        <v>0.59760956175298807</v>
      </c>
      <c r="AW91" s="94">
        <f>Data!$T649</f>
        <v>0.59760956175298807</v>
      </c>
      <c r="AX91" s="94">
        <f>Data!$T663</f>
        <v>0.59760956175298807</v>
      </c>
      <c r="AY91" s="94">
        <f>Data!$T677</f>
        <v>0.59760956175298807</v>
      </c>
      <c r="AZ91" s="94">
        <f>Data!$T691</f>
        <v>0.39840637450199207</v>
      </c>
      <c r="BA91" s="94">
        <f>Data!$T705</f>
        <v>0.39840637450199207</v>
      </c>
      <c r="BB91" s="94">
        <f>Data!$T719</f>
        <v>0</v>
      </c>
      <c r="BC91" s="94">
        <f>Data!$T733</f>
        <v>0.19920318725099603</v>
      </c>
      <c r="BD91" s="94">
        <f>Data!$T747</f>
        <v>0.39840637450199207</v>
      </c>
      <c r="BE91" s="94">
        <f>Data!$T761</f>
        <v>0</v>
      </c>
      <c r="BF91" s="94">
        <f>Data!$T775</f>
        <v>0</v>
      </c>
      <c r="BG91" s="94">
        <f>Data!$T789</f>
        <v>9.9601593625498017E-2</v>
      </c>
      <c r="BH91" s="94">
        <f>Data!$T803</f>
        <v>0</v>
      </c>
      <c r="BI91" s="94">
        <f>Data!$T817</f>
        <v>0.19920318725099603</v>
      </c>
      <c r="BJ91" s="94">
        <f>Data!$T831</f>
        <v>0</v>
      </c>
      <c r="BK91" s="94">
        <f>Data!$T845</f>
        <v>0.19920318725099603</v>
      </c>
      <c r="BL91" s="94">
        <f>Data!$T859</f>
        <v>0</v>
      </c>
    </row>
    <row r="92" spans="2:64" x14ac:dyDescent="0.3">
      <c r="B92" t="str">
        <f t="shared" si="12"/>
        <v>Alberta</v>
      </c>
      <c r="C92" s="94">
        <f>Data!$T6</f>
        <v>0</v>
      </c>
      <c r="D92" s="94">
        <f>Data!$T20</f>
        <v>0</v>
      </c>
      <c r="E92" s="94">
        <f>Data!$T34</f>
        <v>1.3824884792626728</v>
      </c>
      <c r="F92" s="94">
        <f>Data!$T48</f>
        <v>0.2304147465437788</v>
      </c>
      <c r="G92" s="94">
        <f>Data!$T62</f>
        <v>0.46082949308755761</v>
      </c>
      <c r="H92" s="94">
        <f>Data!$T76</f>
        <v>0.46082949308755761</v>
      </c>
      <c r="I92" s="94">
        <f>Data!$T90</f>
        <v>0</v>
      </c>
      <c r="J92" s="94">
        <f>Data!$T104</f>
        <v>1.6129032258064517</v>
      </c>
      <c r="K92" s="94">
        <f>Data!$T118</f>
        <v>0.34562211981566821</v>
      </c>
      <c r="L92" s="94">
        <f>Data!$T132</f>
        <v>0.69124423963133641</v>
      </c>
      <c r="M92" s="94">
        <f>Data!$T146</f>
        <v>0.69124423963133641</v>
      </c>
      <c r="N92" s="94">
        <f>Data!$T160</f>
        <v>0.69124423963133641</v>
      </c>
      <c r="O92" s="94">
        <f>Data!$T174</f>
        <v>1.6129032258064517</v>
      </c>
      <c r="P92" s="94">
        <f>Data!$T188</f>
        <v>0</v>
      </c>
      <c r="Q92" s="94">
        <f>Data!$T202</f>
        <v>0.80645161290322587</v>
      </c>
      <c r="R92" s="94">
        <f>Data!$T216</f>
        <v>0.46082949308755761</v>
      </c>
      <c r="S92" s="94">
        <f>Data!$T230</f>
        <v>0</v>
      </c>
      <c r="T92" s="94">
        <f>Data!$T244</f>
        <v>0.46082949308755761</v>
      </c>
      <c r="U92" s="94">
        <f>Data!$T258</f>
        <v>0</v>
      </c>
      <c r="V92" s="94">
        <f>Data!$T272</f>
        <v>0.2304147465437788</v>
      </c>
      <c r="W92" s="94">
        <f>Data!$T286</f>
        <v>0.92165898617511521</v>
      </c>
      <c r="X92" s="94">
        <f>Data!$T300</f>
        <v>0.46082949308755761</v>
      </c>
      <c r="Y92" s="94">
        <f>Data!$T314</f>
        <v>1.1520737327188941</v>
      </c>
      <c r="Z92" s="94">
        <f>Data!$T328</f>
        <v>0.2304147465437788</v>
      </c>
      <c r="AA92" s="94">
        <f>Data!$T342</f>
        <v>1.1520737327188941</v>
      </c>
      <c r="AB92" s="94">
        <f>Data!$T356</f>
        <v>0.2304147465437788</v>
      </c>
      <c r="AC92" s="94">
        <f>Data!$T370</f>
        <v>0.2304147465437788</v>
      </c>
      <c r="AD92" s="94">
        <f>Data!$T384</f>
        <v>1.1520737327188941</v>
      </c>
      <c r="AE92" s="94">
        <f>Data!$T398</f>
        <v>1.6129032258064517</v>
      </c>
      <c r="AF92" s="94">
        <f>Data!$T412</f>
        <v>0.46082949308755761</v>
      </c>
      <c r="AG92" s="94">
        <f>Data!$T426</f>
        <v>0.69124423963133641</v>
      </c>
      <c r="AH92" s="94">
        <f>Data!$T440</f>
        <v>0.46082949308755761</v>
      </c>
      <c r="AI92" s="94">
        <f>Data!$T454</f>
        <v>1.1520737327188941</v>
      </c>
      <c r="AJ92" s="94">
        <f>Data!$T468</f>
        <v>0.46082949308755761</v>
      </c>
      <c r="AK92" s="94">
        <f>Data!$T482</f>
        <v>1.3824884792626728</v>
      </c>
      <c r="AL92" s="94">
        <f>Data!$T496</f>
        <v>0.46082949308755761</v>
      </c>
      <c r="AM92" s="94">
        <f>Data!$T510</f>
        <v>0.2304147465437788</v>
      </c>
      <c r="AN92" s="94">
        <f>Data!$T524</f>
        <v>0.2304147465437788</v>
      </c>
      <c r="AO92" s="94">
        <f>Data!$T538</f>
        <v>0.1152073732718894</v>
      </c>
      <c r="AP92" s="94">
        <f>Data!$T552</f>
        <v>0.2304147465437788</v>
      </c>
      <c r="AQ92" s="94">
        <f>Data!$T566</f>
        <v>0.46082949308755761</v>
      </c>
      <c r="AR92" s="94">
        <f>Data!$T580</f>
        <v>0.2304147465437788</v>
      </c>
      <c r="AS92" s="94">
        <f>Data!$T594</f>
        <v>0.92165898617511521</v>
      </c>
      <c r="AT92" s="94">
        <f>Data!$T608</f>
        <v>0.2304147465437788</v>
      </c>
      <c r="AU92" s="94">
        <f>Data!$T622</f>
        <v>0.2304147465437788</v>
      </c>
      <c r="AV92" s="94">
        <f>Data!$T636</f>
        <v>0</v>
      </c>
      <c r="AW92" s="94">
        <f>Data!$T650</f>
        <v>0</v>
      </c>
      <c r="AX92" s="94">
        <f>Data!$T664</f>
        <v>0.92165898617511521</v>
      </c>
      <c r="AY92" s="94">
        <f>Data!$T678</f>
        <v>0.46082949308755761</v>
      </c>
      <c r="AZ92" s="94">
        <f>Data!$T692</f>
        <v>0.2304147465437788</v>
      </c>
      <c r="BA92" s="94">
        <f>Data!$T706</f>
        <v>0.34562211981566821</v>
      </c>
      <c r="BB92" s="94">
        <f>Data!$T720</f>
        <v>0.2304147465437788</v>
      </c>
      <c r="BC92" s="94">
        <f>Data!$T734</f>
        <v>0.46082949308755761</v>
      </c>
      <c r="BD92" s="94">
        <f>Data!$T748</f>
        <v>0.46082949308755761</v>
      </c>
      <c r="BE92" s="94">
        <f>Data!$T762</f>
        <v>0</v>
      </c>
      <c r="BF92" s="94">
        <f>Data!$T776</f>
        <v>0</v>
      </c>
      <c r="BG92" s="94">
        <f>Data!$T790</f>
        <v>0</v>
      </c>
      <c r="BH92" s="94">
        <f>Data!$T804</f>
        <v>0</v>
      </c>
      <c r="BI92" s="94">
        <f>Data!$T818</f>
        <v>0.46082949308755761</v>
      </c>
      <c r="BJ92" s="94">
        <f>Data!$T832</f>
        <v>0.2304147465437788</v>
      </c>
      <c r="BK92" s="94">
        <f>Data!$T846</f>
        <v>0</v>
      </c>
      <c r="BL92" s="94">
        <f>Data!$T860</f>
        <v>0</v>
      </c>
    </row>
    <row r="93" spans="2:64" x14ac:dyDescent="0.3">
      <c r="B93" t="str">
        <f t="shared" si="12"/>
        <v>Manitoba</v>
      </c>
      <c r="C93" s="94">
        <f>Data!$T7</f>
        <v>0</v>
      </c>
      <c r="D93" s="94">
        <f>Data!$T21</f>
        <v>0</v>
      </c>
      <c r="E93" s="94">
        <f>Data!$T35</f>
        <v>0</v>
      </c>
      <c r="F93" s="94">
        <f>Data!$T49</f>
        <v>0</v>
      </c>
      <c r="G93" s="94">
        <f>Data!$T63</f>
        <v>0</v>
      </c>
      <c r="H93" s="94">
        <f>Data!$T77</f>
        <v>0</v>
      </c>
      <c r="I93" s="94">
        <f>Data!$T91</f>
        <v>0.73529411764705876</v>
      </c>
      <c r="J93" s="94">
        <f>Data!$T105</f>
        <v>0</v>
      </c>
      <c r="K93" s="94">
        <f>Data!$T119</f>
        <v>0</v>
      </c>
      <c r="L93" s="94">
        <f>Data!$T133</f>
        <v>0.73529411764705876</v>
      </c>
      <c r="M93" s="94">
        <f>Data!$T147</f>
        <v>0</v>
      </c>
      <c r="N93" s="94">
        <f>Data!$T161</f>
        <v>0</v>
      </c>
      <c r="O93" s="94">
        <f>Data!$T175</f>
        <v>0.73529411764705876</v>
      </c>
      <c r="P93" s="94">
        <f>Data!$T189</f>
        <v>0</v>
      </c>
      <c r="Q93" s="94">
        <f>Data!$T203</f>
        <v>0</v>
      </c>
      <c r="R93" s="94">
        <f>Data!$T217</f>
        <v>0</v>
      </c>
      <c r="S93" s="94">
        <f>Data!$T231</f>
        <v>0.73529411764705876</v>
      </c>
      <c r="T93" s="94">
        <f>Data!$T245</f>
        <v>0</v>
      </c>
      <c r="U93" s="94">
        <f>Data!$T259</f>
        <v>0</v>
      </c>
      <c r="V93" s="94">
        <f>Data!$T273</f>
        <v>0</v>
      </c>
      <c r="W93" s="94">
        <f>Data!$T287</f>
        <v>0.36764705882352938</v>
      </c>
      <c r="X93" s="94">
        <f>Data!$T301</f>
        <v>0</v>
      </c>
      <c r="Y93" s="94">
        <f>Data!$T315</f>
        <v>0</v>
      </c>
      <c r="Z93" s="94">
        <f>Data!$T329</f>
        <v>0</v>
      </c>
      <c r="AA93" s="94">
        <f>Data!$T343</f>
        <v>0</v>
      </c>
      <c r="AB93" s="94">
        <f>Data!$T357</f>
        <v>0</v>
      </c>
      <c r="AC93" s="94">
        <f>Data!$T371</f>
        <v>0</v>
      </c>
      <c r="AD93" s="94">
        <f>Data!$T385</f>
        <v>0</v>
      </c>
      <c r="AE93" s="94">
        <f>Data!$T399</f>
        <v>0</v>
      </c>
      <c r="AF93" s="94">
        <f>Data!$T413</f>
        <v>0</v>
      </c>
      <c r="AG93" s="94">
        <f>Data!$T427</f>
        <v>0</v>
      </c>
      <c r="AH93" s="94">
        <f>Data!$T441</f>
        <v>0</v>
      </c>
      <c r="AI93" s="94">
        <f>Data!$T455</f>
        <v>0</v>
      </c>
      <c r="AJ93" s="94">
        <f>Data!$T469</f>
        <v>0.73529411764705876</v>
      </c>
      <c r="AK93" s="94">
        <f>Data!$T483</f>
        <v>0</v>
      </c>
      <c r="AL93" s="94">
        <f>Data!$T497</f>
        <v>0</v>
      </c>
      <c r="AM93" s="94">
        <f>Data!$T511</f>
        <v>0</v>
      </c>
      <c r="AN93" s="94">
        <f>Data!$T525</f>
        <v>0</v>
      </c>
      <c r="AO93" s="94">
        <f>Data!$T539</f>
        <v>0</v>
      </c>
      <c r="AP93" s="94">
        <f>Data!$T553</f>
        <v>0</v>
      </c>
      <c r="AQ93" s="94">
        <f>Data!$T567</f>
        <v>0</v>
      </c>
      <c r="AR93" s="94">
        <f>Data!$T581</f>
        <v>0</v>
      </c>
      <c r="AS93" s="94">
        <f>Data!$T595</f>
        <v>0</v>
      </c>
      <c r="AT93" s="94">
        <f>Data!$T609</f>
        <v>0</v>
      </c>
      <c r="AU93" s="94">
        <f>Data!$T623</f>
        <v>0</v>
      </c>
      <c r="AV93" s="94">
        <f>Data!$T637</f>
        <v>0</v>
      </c>
      <c r="AW93" s="94">
        <f>Data!$T651</f>
        <v>0</v>
      </c>
      <c r="AX93" s="94">
        <f>Data!$T665</f>
        <v>0</v>
      </c>
      <c r="AY93" s="94">
        <f>Data!$T679</f>
        <v>0</v>
      </c>
      <c r="AZ93" s="94">
        <f>Data!$T693</f>
        <v>0</v>
      </c>
      <c r="BA93" s="94">
        <f>Data!$T707</f>
        <v>0</v>
      </c>
      <c r="BB93" s="94">
        <f>Data!$T721</f>
        <v>0</v>
      </c>
      <c r="BC93" s="94">
        <f>Data!$T735</f>
        <v>0</v>
      </c>
      <c r="BD93" s="94">
        <f>Data!$T749</f>
        <v>0</v>
      </c>
      <c r="BE93" s="94">
        <f>Data!$T763</f>
        <v>0</v>
      </c>
      <c r="BF93" s="94">
        <f>Data!$T777</f>
        <v>0</v>
      </c>
      <c r="BG93" s="94">
        <f>Data!$T791</f>
        <v>0</v>
      </c>
      <c r="BH93" s="94">
        <f>Data!$T805</f>
        <v>0</v>
      </c>
      <c r="BI93" s="94">
        <f>Data!$T819</f>
        <v>0</v>
      </c>
      <c r="BJ93" s="94">
        <f>Data!$T833</f>
        <v>0</v>
      </c>
      <c r="BK93" s="94">
        <f>Data!$T847</f>
        <v>0</v>
      </c>
      <c r="BL93" s="94">
        <f>Data!$T861</f>
        <v>0</v>
      </c>
    </row>
    <row r="94" spans="2:64" x14ac:dyDescent="0.3">
      <c r="B94" t="str">
        <f t="shared" si="12"/>
        <v>Sask</v>
      </c>
      <c r="C94" s="94">
        <f>Data!$T8</f>
        <v>0</v>
      </c>
      <c r="D94" s="94">
        <f>Data!$T22</f>
        <v>0</v>
      </c>
      <c r="E94" s="94">
        <f>Data!$T36</f>
        <v>1.7094017094017095</v>
      </c>
      <c r="F94" s="94">
        <f>Data!$T50</f>
        <v>0</v>
      </c>
      <c r="G94" s="94">
        <f>Data!$T64</f>
        <v>0.85470085470085477</v>
      </c>
      <c r="H94" s="94">
        <f>Data!$T78</f>
        <v>0</v>
      </c>
      <c r="I94" s="94">
        <f>Data!$T92</f>
        <v>0</v>
      </c>
      <c r="J94" s="94">
        <f>Data!$T106</f>
        <v>0</v>
      </c>
      <c r="K94" s="94">
        <f>Data!$T120</f>
        <v>0</v>
      </c>
      <c r="L94" s="94">
        <f>Data!$T134</f>
        <v>0</v>
      </c>
      <c r="M94" s="94">
        <f>Data!$T148</f>
        <v>0</v>
      </c>
      <c r="N94" s="94">
        <f>Data!$T162</f>
        <v>0</v>
      </c>
      <c r="O94" s="94">
        <f>Data!$T176</f>
        <v>0</v>
      </c>
      <c r="P94" s="94">
        <f>Data!$T190</f>
        <v>0.85470085470085477</v>
      </c>
      <c r="Q94" s="94">
        <f>Data!$T204</f>
        <v>0</v>
      </c>
      <c r="R94" s="94">
        <f>Data!$T218</f>
        <v>0</v>
      </c>
      <c r="S94" s="94">
        <f>Data!$T232</f>
        <v>0</v>
      </c>
      <c r="T94" s="94">
        <f>Data!$T246</f>
        <v>0</v>
      </c>
      <c r="U94" s="94">
        <f>Data!$T260</f>
        <v>0</v>
      </c>
      <c r="V94" s="94">
        <f>Data!$T274</f>
        <v>0</v>
      </c>
      <c r="W94" s="94">
        <f>Data!$T288</f>
        <v>0</v>
      </c>
      <c r="X94" s="94">
        <f>Data!$T302</f>
        <v>0</v>
      </c>
      <c r="Y94" s="94">
        <f>Data!$T316</f>
        <v>0</v>
      </c>
      <c r="Z94" s="94">
        <f>Data!$T330</f>
        <v>0</v>
      </c>
      <c r="AA94" s="94">
        <f>Data!$T344</f>
        <v>0</v>
      </c>
      <c r="AB94" s="94">
        <f>Data!$T358</f>
        <v>0</v>
      </c>
      <c r="AC94" s="94">
        <f>Data!$T372</f>
        <v>0.42735042735042739</v>
      </c>
      <c r="AD94" s="94">
        <f>Data!$T386</f>
        <v>0</v>
      </c>
      <c r="AE94" s="94">
        <f>Data!$T400</f>
        <v>0.85470085470085477</v>
      </c>
      <c r="AF94" s="94">
        <f>Data!$T414</f>
        <v>0</v>
      </c>
      <c r="AG94" s="94">
        <f>Data!$T428</f>
        <v>0</v>
      </c>
      <c r="AH94" s="94">
        <f>Data!$T442</f>
        <v>0</v>
      </c>
      <c r="AI94" s="94">
        <f>Data!$T456</f>
        <v>0</v>
      </c>
      <c r="AJ94" s="94">
        <f>Data!$T470</f>
        <v>0</v>
      </c>
      <c r="AK94" s="94">
        <f>Data!$T484</f>
        <v>0</v>
      </c>
      <c r="AL94" s="94">
        <f>Data!$T498</f>
        <v>0</v>
      </c>
      <c r="AM94" s="94">
        <f>Data!$T512</f>
        <v>0</v>
      </c>
      <c r="AN94" s="94">
        <f>Data!$T526</f>
        <v>0</v>
      </c>
      <c r="AO94" s="94">
        <f>Data!$T540</f>
        <v>0</v>
      </c>
      <c r="AP94" s="94">
        <f>Data!$T554</f>
        <v>0</v>
      </c>
      <c r="AQ94" s="94">
        <f>Data!$T568</f>
        <v>0</v>
      </c>
      <c r="AR94" s="94">
        <f>Data!$T582</f>
        <v>0</v>
      </c>
      <c r="AS94" s="94">
        <f>Data!$T596</f>
        <v>0</v>
      </c>
      <c r="AT94" s="94">
        <f>Data!$T610</f>
        <v>0</v>
      </c>
      <c r="AU94" s="94">
        <f>Data!$T624</f>
        <v>0</v>
      </c>
      <c r="AV94" s="94">
        <f>Data!$T638</f>
        <v>0</v>
      </c>
      <c r="AW94" s="94">
        <f>Data!$T652</f>
        <v>0.85470085470085477</v>
      </c>
      <c r="AX94" s="94">
        <f>Data!$T666</f>
        <v>0</v>
      </c>
      <c r="AY94" s="94">
        <f>Data!$T680</f>
        <v>0</v>
      </c>
      <c r="AZ94" s="94">
        <f>Data!$T694</f>
        <v>0</v>
      </c>
      <c r="BA94" s="94">
        <f>Data!$T708</f>
        <v>0</v>
      </c>
      <c r="BB94" s="94">
        <f>Data!$T722</f>
        <v>0.85470085470085477</v>
      </c>
      <c r="BC94" s="94">
        <f>Data!$T736</f>
        <v>1.7094017094017095</v>
      </c>
      <c r="BD94" s="94">
        <f>Data!$T750</f>
        <v>0</v>
      </c>
      <c r="BE94" s="94">
        <f>Data!$T764</f>
        <v>0</v>
      </c>
      <c r="BF94" s="94">
        <f>Data!$T778</f>
        <v>0</v>
      </c>
      <c r="BG94" s="94">
        <f>Data!$T792</f>
        <v>0.42735042735042739</v>
      </c>
      <c r="BH94" s="94">
        <f>Data!$T806</f>
        <v>0</v>
      </c>
      <c r="BI94" s="94">
        <f>Data!$T820</f>
        <v>0</v>
      </c>
      <c r="BJ94" s="94">
        <f>Data!$T834</f>
        <v>0</v>
      </c>
      <c r="BK94" s="94">
        <f>Data!$T848</f>
        <v>0</v>
      </c>
      <c r="BL94" s="94">
        <f>Data!$T862</f>
        <v>0</v>
      </c>
    </row>
    <row r="95" spans="2:64" x14ac:dyDescent="0.3">
      <c r="B95" t="str">
        <f t="shared" si="12"/>
        <v>NS</v>
      </c>
      <c r="C95" s="94">
        <f>Data!$T9</f>
        <v>0</v>
      </c>
      <c r="D95" s="94">
        <f>Data!$T23</f>
        <v>0</v>
      </c>
      <c r="E95" s="94">
        <f>Data!$T37</f>
        <v>0</v>
      </c>
      <c r="F95" s="94">
        <f>Data!$T51</f>
        <v>0</v>
      </c>
      <c r="G95" s="94">
        <f>Data!$T65</f>
        <v>0</v>
      </c>
      <c r="H95" s="94">
        <f>Data!$T79</f>
        <v>0</v>
      </c>
      <c r="I95" s="94">
        <f>Data!$T93</f>
        <v>0</v>
      </c>
      <c r="J95" s="94">
        <f>Data!$T107</f>
        <v>0</v>
      </c>
      <c r="K95" s="94">
        <f>Data!$T121</f>
        <v>0</v>
      </c>
      <c r="L95" s="94">
        <f>Data!$T135</f>
        <v>1.0362694300518136</v>
      </c>
      <c r="M95" s="94">
        <f>Data!$T149</f>
        <v>0</v>
      </c>
      <c r="N95" s="94">
        <f>Data!$T163</f>
        <v>1.0362694300518136</v>
      </c>
      <c r="O95" s="94">
        <f>Data!$T177</f>
        <v>0</v>
      </c>
      <c r="P95" s="94">
        <f>Data!$T191</f>
        <v>0</v>
      </c>
      <c r="Q95" s="94">
        <f>Data!$T205</f>
        <v>0.5181347150259068</v>
      </c>
      <c r="R95" s="94">
        <f>Data!$T219</f>
        <v>0</v>
      </c>
      <c r="S95" s="94">
        <f>Data!$T233</f>
        <v>0</v>
      </c>
      <c r="T95" s="94">
        <f>Data!$T247</f>
        <v>0</v>
      </c>
      <c r="U95" s="94">
        <f>Data!$T261</f>
        <v>1.0362694300518136</v>
      </c>
      <c r="V95" s="94">
        <f>Data!$T275</f>
        <v>3.1088082901554404</v>
      </c>
      <c r="W95" s="94">
        <f>Data!$T289</f>
        <v>1.0362694300518136</v>
      </c>
      <c r="X95" s="94">
        <f>Data!$T303</f>
        <v>1.0362694300518136</v>
      </c>
      <c r="Y95" s="94">
        <f>Data!$T317</f>
        <v>2.0725388601036272</v>
      </c>
      <c r="Z95" s="94">
        <f>Data!$T331</f>
        <v>4.1450777202072544</v>
      </c>
      <c r="AA95" s="94">
        <f>Data!$T345</f>
        <v>0</v>
      </c>
      <c r="AB95" s="94">
        <f>Data!$T359</f>
        <v>6.2176165803108807</v>
      </c>
      <c r="AC95" s="94">
        <f>Data!$T373</f>
        <v>1.0362694300518136</v>
      </c>
      <c r="AD95" s="94">
        <f>Data!$T387</f>
        <v>3.1088082901554404</v>
      </c>
      <c r="AE95" s="94">
        <f>Data!$T401</f>
        <v>1.0362694300518136</v>
      </c>
      <c r="AF95" s="94">
        <f>Data!$T415</f>
        <v>0</v>
      </c>
      <c r="AG95" s="94">
        <f>Data!$T429</f>
        <v>1.0362694300518136</v>
      </c>
      <c r="AH95" s="94">
        <f>Data!$T443</f>
        <v>2.0725388601036272</v>
      </c>
      <c r="AI95" s="94">
        <f>Data!$T457</f>
        <v>3.6269430051813472</v>
      </c>
      <c r="AJ95" s="94">
        <f>Data!$T471</f>
        <v>3.1088082901554404</v>
      </c>
      <c r="AK95" s="94">
        <f>Data!$T485</f>
        <v>0</v>
      </c>
      <c r="AL95" s="94">
        <f>Data!$T499</f>
        <v>3.1088082901554404</v>
      </c>
      <c r="AM95" s="94">
        <f>Data!$T513</f>
        <v>2.0725388601036272</v>
      </c>
      <c r="AN95" s="94">
        <f>Data!$T527</f>
        <v>1.0362694300518136</v>
      </c>
      <c r="AO95" s="94">
        <f>Data!$T541</f>
        <v>0.5181347150259068</v>
      </c>
      <c r="AP95" s="94">
        <f>Data!$T555</f>
        <v>0</v>
      </c>
      <c r="AQ95" s="94">
        <f>Data!$T569</f>
        <v>3.1088082901554404</v>
      </c>
      <c r="AR95" s="94">
        <f>Data!$T583</f>
        <v>0</v>
      </c>
      <c r="AS95" s="94">
        <f>Data!$T597</f>
        <v>4.1450777202072544</v>
      </c>
      <c r="AT95" s="94">
        <f>Data!$T611</f>
        <v>0</v>
      </c>
      <c r="AU95" s="94">
        <f>Data!$T625</f>
        <v>0</v>
      </c>
      <c r="AV95" s="94">
        <f>Data!$T639</f>
        <v>1.0362694300518136</v>
      </c>
      <c r="AW95" s="94">
        <f>Data!$T653</f>
        <v>1.0362694300518136</v>
      </c>
      <c r="AX95" s="94">
        <f>Data!$T667</f>
        <v>1.0362694300518136</v>
      </c>
      <c r="AY95" s="94">
        <f>Data!$T681</f>
        <v>0</v>
      </c>
      <c r="AZ95" s="94">
        <f>Data!$T695</f>
        <v>0</v>
      </c>
      <c r="BA95" s="94">
        <f>Data!$T709</f>
        <v>0</v>
      </c>
      <c r="BB95" s="94">
        <f>Data!$T723</f>
        <v>1.0362694300518136</v>
      </c>
      <c r="BC95" s="94">
        <f>Data!$T737</f>
        <v>0</v>
      </c>
      <c r="BD95" s="94">
        <f>Data!$T751</f>
        <v>0</v>
      </c>
      <c r="BE95" s="94">
        <f>Data!$T765</f>
        <v>0</v>
      </c>
      <c r="BF95" s="94">
        <f>Data!$T779</f>
        <v>1.0362694300518136</v>
      </c>
      <c r="BG95" s="94">
        <f>Data!$T793</f>
        <v>0</v>
      </c>
      <c r="BH95" s="94">
        <f>Data!$T807</f>
        <v>0</v>
      </c>
      <c r="BI95" s="94">
        <f>Data!$T821</f>
        <v>0</v>
      </c>
      <c r="BJ95" s="94">
        <f>Data!$T835</f>
        <v>1.0362694300518136</v>
      </c>
      <c r="BK95" s="94">
        <f>Data!$T849</f>
        <v>0</v>
      </c>
      <c r="BL95" s="94">
        <f>Data!$T863</f>
        <v>0</v>
      </c>
    </row>
    <row r="96" spans="2:64" x14ac:dyDescent="0.3">
      <c r="B96" t="str">
        <f t="shared" si="12"/>
        <v>NB</v>
      </c>
      <c r="C96" s="94">
        <f>Data!$T10</f>
        <v>0</v>
      </c>
      <c r="D96" s="94">
        <f>Data!$T24</f>
        <v>0</v>
      </c>
      <c r="E96" s="94">
        <f>Data!$T38</f>
        <v>0</v>
      </c>
      <c r="F96" s="94">
        <f>Data!$T52</f>
        <v>0</v>
      </c>
      <c r="G96" s="94">
        <f>Data!$T66</f>
        <v>0</v>
      </c>
      <c r="H96" s="94">
        <f>Data!$T80</f>
        <v>0</v>
      </c>
      <c r="I96" s="94">
        <f>Data!$T94</f>
        <v>0</v>
      </c>
      <c r="J96" s="94">
        <f>Data!$T108</f>
        <v>0</v>
      </c>
      <c r="K96" s="94">
        <f>Data!$T122</f>
        <v>0</v>
      </c>
      <c r="L96" s="94">
        <f>Data!$T136</f>
        <v>0</v>
      </c>
      <c r="M96" s="94">
        <f>Data!$T150</f>
        <v>0</v>
      </c>
      <c r="N96" s="94">
        <f>Data!$T164</f>
        <v>0</v>
      </c>
      <c r="O96" s="94">
        <f>Data!$T178</f>
        <v>0</v>
      </c>
      <c r="P96" s="94">
        <f>Data!$T192</f>
        <v>0</v>
      </c>
      <c r="Q96" s="94">
        <f>Data!$T206</f>
        <v>0</v>
      </c>
      <c r="R96" s="94">
        <f>Data!$T220</f>
        <v>0</v>
      </c>
      <c r="S96" s="94">
        <f>Data!$T234</f>
        <v>0</v>
      </c>
      <c r="T96" s="94">
        <f>Data!$T248</f>
        <v>0</v>
      </c>
      <c r="U96" s="94">
        <f>Data!$T262</f>
        <v>0</v>
      </c>
      <c r="V96" s="94">
        <f>Data!$T276</f>
        <v>0</v>
      </c>
      <c r="W96" s="94">
        <f>Data!$T290</f>
        <v>0</v>
      </c>
      <c r="X96" s="94">
        <f>Data!$T304</f>
        <v>0</v>
      </c>
      <c r="Y96" s="94">
        <f>Data!$T318</f>
        <v>0</v>
      </c>
      <c r="Z96" s="94">
        <f>Data!$T332</f>
        <v>0</v>
      </c>
      <c r="AA96" s="94">
        <f>Data!$T346</f>
        <v>0</v>
      </c>
      <c r="AB96" s="94">
        <f>Data!$T360</f>
        <v>0</v>
      </c>
      <c r="AC96" s="94">
        <f>Data!$T374</f>
        <v>0</v>
      </c>
      <c r="AD96" s="94">
        <f>Data!$T388</f>
        <v>0</v>
      </c>
      <c r="AE96" s="94">
        <f>Data!$T402</f>
        <v>0</v>
      </c>
      <c r="AF96" s="94">
        <f>Data!$T416</f>
        <v>0</v>
      </c>
      <c r="AG96" s="94">
        <f>Data!$T430</f>
        <v>0</v>
      </c>
      <c r="AH96" s="94">
        <f>Data!$T444</f>
        <v>0</v>
      </c>
      <c r="AI96" s="94">
        <f>Data!$T458</f>
        <v>0</v>
      </c>
      <c r="AJ96" s="94">
        <f>Data!$T472</f>
        <v>0</v>
      </c>
      <c r="AK96" s="94">
        <f>Data!$T486</f>
        <v>0</v>
      </c>
      <c r="AL96" s="94">
        <f>Data!$T500</f>
        <v>0</v>
      </c>
      <c r="AM96" s="94">
        <f>Data!$T514</f>
        <v>0</v>
      </c>
      <c r="AN96" s="94">
        <f>Data!$T528</f>
        <v>0</v>
      </c>
      <c r="AO96" s="94">
        <f>Data!$T542</f>
        <v>0</v>
      </c>
      <c r="AP96" s="94">
        <f>Data!$T556</f>
        <v>0</v>
      </c>
      <c r="AQ96" s="94">
        <f>Data!$T570</f>
        <v>0</v>
      </c>
      <c r="AR96" s="94">
        <f>Data!$T584</f>
        <v>0</v>
      </c>
      <c r="AS96" s="94">
        <f>Data!$T598</f>
        <v>0</v>
      </c>
      <c r="AT96" s="94">
        <f>Data!$T612</f>
        <v>0</v>
      </c>
      <c r="AU96" s="94">
        <f>Data!$T626</f>
        <v>0</v>
      </c>
      <c r="AV96" s="94">
        <f>Data!$T640</f>
        <v>0</v>
      </c>
      <c r="AW96" s="94">
        <f>Data!$T654</f>
        <v>0</v>
      </c>
      <c r="AX96" s="94">
        <f>Data!$T668</f>
        <v>0</v>
      </c>
      <c r="AY96" s="94">
        <f>Data!$T682</f>
        <v>0</v>
      </c>
      <c r="AZ96" s="94">
        <f>Data!$T696</f>
        <v>0</v>
      </c>
      <c r="BA96" s="94">
        <f>Data!$T710</f>
        <v>0</v>
      </c>
      <c r="BB96" s="94">
        <f>Data!$T724</f>
        <v>0</v>
      </c>
      <c r="BC96" s="94">
        <f>Data!$T738</f>
        <v>0</v>
      </c>
      <c r="BD96" s="94">
        <f>Data!$T752</f>
        <v>0</v>
      </c>
      <c r="BE96" s="94">
        <f>Data!$T766</f>
        <v>0</v>
      </c>
      <c r="BF96" s="94">
        <f>Data!$T780</f>
        <v>0</v>
      </c>
      <c r="BG96" s="94">
        <f>Data!$T794</f>
        <v>0</v>
      </c>
      <c r="BH96" s="94">
        <f>Data!$T808</f>
        <v>0</v>
      </c>
      <c r="BI96" s="94">
        <f>Data!$T822</f>
        <v>0</v>
      </c>
      <c r="BJ96" s="94">
        <f>Data!$T836</f>
        <v>1.2953367875647668</v>
      </c>
      <c r="BK96" s="94">
        <f>Data!$T850</f>
        <v>0</v>
      </c>
      <c r="BL96" s="94">
        <f>Data!$T864</f>
        <v>0</v>
      </c>
    </row>
    <row r="97" spans="2:64" x14ac:dyDescent="0.3">
      <c r="B97" t="str">
        <f t="shared" si="12"/>
        <v>PEI</v>
      </c>
      <c r="C97" s="94">
        <f>Data!$T11</f>
        <v>0</v>
      </c>
      <c r="D97" s="94">
        <f>Data!$T25</f>
        <v>0</v>
      </c>
      <c r="E97" s="94">
        <f>Data!$T39</f>
        <v>0</v>
      </c>
      <c r="F97" s="94">
        <f>Data!$T53</f>
        <v>0</v>
      </c>
      <c r="G97" s="94">
        <f>Data!$T67</f>
        <v>0</v>
      </c>
      <c r="H97" s="94">
        <f>Data!$T81</f>
        <v>0</v>
      </c>
      <c r="I97" s="94">
        <f>Data!$T95</f>
        <v>0</v>
      </c>
      <c r="J97" s="94">
        <f>Data!$T109</f>
        <v>0</v>
      </c>
      <c r="K97" s="94">
        <f>Data!$T123</f>
        <v>0</v>
      </c>
      <c r="L97" s="94">
        <f>Data!$T137</f>
        <v>0</v>
      </c>
      <c r="M97" s="94">
        <f>Data!$T151</f>
        <v>0</v>
      </c>
      <c r="N97" s="94">
        <f>Data!$T165</f>
        <v>0</v>
      </c>
      <c r="O97" s="94">
        <f>Data!$T179</f>
        <v>0</v>
      </c>
      <c r="P97" s="94">
        <f>Data!$T193</f>
        <v>0</v>
      </c>
      <c r="Q97" s="94">
        <f>Data!$T207</f>
        <v>0</v>
      </c>
      <c r="R97" s="94">
        <f>Data!$T221</f>
        <v>0</v>
      </c>
      <c r="S97" s="94">
        <f>Data!$T235</f>
        <v>0</v>
      </c>
      <c r="T97" s="94">
        <f>Data!$T249</f>
        <v>0</v>
      </c>
      <c r="U97" s="94">
        <f>Data!$T263</f>
        <v>0</v>
      </c>
      <c r="V97" s="94">
        <f>Data!$T277</f>
        <v>0</v>
      </c>
      <c r="W97" s="94">
        <f>Data!$T291</f>
        <v>0</v>
      </c>
      <c r="X97" s="94">
        <f>Data!$T305</f>
        <v>0</v>
      </c>
      <c r="Y97" s="94">
        <f>Data!$T319</f>
        <v>0</v>
      </c>
      <c r="Z97" s="94">
        <f>Data!$T333</f>
        <v>0</v>
      </c>
      <c r="AA97" s="94">
        <f>Data!$T347</f>
        <v>0</v>
      </c>
      <c r="AB97" s="94">
        <f>Data!$T361</f>
        <v>0</v>
      </c>
      <c r="AC97" s="94">
        <f>Data!$T375</f>
        <v>0</v>
      </c>
      <c r="AD97" s="94">
        <f>Data!$T389</f>
        <v>0</v>
      </c>
      <c r="AE97" s="94">
        <f>Data!$T403</f>
        <v>0</v>
      </c>
      <c r="AF97" s="94">
        <f>Data!$T417</f>
        <v>0</v>
      </c>
      <c r="AG97" s="94">
        <f>Data!$T431</f>
        <v>0</v>
      </c>
      <c r="AH97" s="94">
        <f>Data!$T445</f>
        <v>0</v>
      </c>
      <c r="AI97" s="94">
        <f>Data!$T459</f>
        <v>0</v>
      </c>
      <c r="AJ97" s="94">
        <f>Data!$T473</f>
        <v>0</v>
      </c>
      <c r="AK97" s="94">
        <f>Data!$T487</f>
        <v>0</v>
      </c>
      <c r="AL97" s="94">
        <f>Data!$T501</f>
        <v>0</v>
      </c>
      <c r="AM97" s="94">
        <f>Data!$T515</f>
        <v>0</v>
      </c>
      <c r="AN97" s="94">
        <f>Data!$T529</f>
        <v>0</v>
      </c>
      <c r="AO97" s="94">
        <f>Data!$T543</f>
        <v>0</v>
      </c>
      <c r="AP97" s="94">
        <f>Data!$T557</f>
        <v>0</v>
      </c>
      <c r="AQ97" s="94">
        <f>Data!$T571</f>
        <v>0</v>
      </c>
      <c r="AR97" s="94">
        <f>Data!$T585</f>
        <v>0</v>
      </c>
      <c r="AS97" s="94">
        <f>Data!$T599</f>
        <v>0</v>
      </c>
      <c r="AT97" s="94">
        <f>Data!$T613</f>
        <v>0</v>
      </c>
      <c r="AU97" s="94">
        <f>Data!$T627</f>
        <v>0</v>
      </c>
      <c r="AV97" s="94">
        <f>Data!$T641</f>
        <v>0</v>
      </c>
      <c r="AW97" s="94">
        <f>Data!$T655</f>
        <v>0</v>
      </c>
      <c r="AX97" s="94">
        <f>Data!$T669</f>
        <v>0</v>
      </c>
      <c r="AY97" s="94">
        <f>Data!$T683</f>
        <v>0</v>
      </c>
      <c r="AZ97" s="94">
        <f>Data!$T697</f>
        <v>0</v>
      </c>
      <c r="BA97" s="94">
        <f>Data!$T711</f>
        <v>0</v>
      </c>
      <c r="BB97" s="94">
        <f>Data!$T725</f>
        <v>0</v>
      </c>
      <c r="BC97" s="94">
        <f>Data!$T739</f>
        <v>0</v>
      </c>
      <c r="BD97" s="94">
        <f>Data!$T753</f>
        <v>0</v>
      </c>
      <c r="BE97" s="94">
        <f>Data!$T767</f>
        <v>0</v>
      </c>
      <c r="BF97" s="94">
        <f>Data!$T781</f>
        <v>0</v>
      </c>
      <c r="BG97" s="94">
        <f>Data!$T795</f>
        <v>0</v>
      </c>
      <c r="BH97" s="94">
        <f>Data!$T809</f>
        <v>0</v>
      </c>
      <c r="BI97" s="94">
        <f>Data!$T823</f>
        <v>0</v>
      </c>
      <c r="BJ97" s="94">
        <f>Data!$T837</f>
        <v>0</v>
      </c>
      <c r="BK97" s="94">
        <f>Data!$T851</f>
        <v>0</v>
      </c>
      <c r="BL97" s="94">
        <f>Data!$T865</f>
        <v>0</v>
      </c>
    </row>
    <row r="98" spans="2:64" x14ac:dyDescent="0.3">
      <c r="B98" t="str">
        <f t="shared" si="12"/>
        <v>NFLD</v>
      </c>
      <c r="C98" s="94">
        <f>Data!$T12</f>
        <v>0</v>
      </c>
      <c r="D98" s="94">
        <f>Data!$T26</f>
        <v>0</v>
      </c>
      <c r="E98" s="94">
        <f>Data!$T40</f>
        <v>1.9083969465648853</v>
      </c>
      <c r="F98" s="94">
        <f>Data!$T54</f>
        <v>0</v>
      </c>
      <c r="G98" s="94">
        <f>Data!$T68</f>
        <v>0</v>
      </c>
      <c r="H98" s="94">
        <f>Data!$T82</f>
        <v>0</v>
      </c>
      <c r="I98" s="94">
        <f>Data!$T96</f>
        <v>0</v>
      </c>
      <c r="J98" s="94">
        <f>Data!$T110</f>
        <v>0</v>
      </c>
      <c r="K98" s="94">
        <f>Data!$T124</f>
        <v>0.95419847328244267</v>
      </c>
      <c r="L98" s="94">
        <f>Data!$T138</f>
        <v>0</v>
      </c>
      <c r="M98" s="94">
        <f>Data!$T152</f>
        <v>0</v>
      </c>
      <c r="N98" s="94">
        <f>Data!$T166</f>
        <v>0</v>
      </c>
      <c r="O98" s="94">
        <f>Data!$T180</f>
        <v>0</v>
      </c>
      <c r="P98" s="94">
        <f>Data!$T194</f>
        <v>0</v>
      </c>
      <c r="Q98" s="94">
        <f>Data!$T208</f>
        <v>0</v>
      </c>
      <c r="R98" s="94">
        <f>Data!$T222</f>
        <v>1.9083969465648853</v>
      </c>
      <c r="S98" s="94">
        <f>Data!$T236</f>
        <v>0</v>
      </c>
      <c r="T98" s="94">
        <f>Data!$T250</f>
        <v>0</v>
      </c>
      <c r="U98" s="94">
        <f>Data!$T264</f>
        <v>0</v>
      </c>
      <c r="V98" s="94">
        <f>Data!$T278</f>
        <v>0</v>
      </c>
      <c r="W98" s="94">
        <f>Data!$T292</f>
        <v>0</v>
      </c>
      <c r="X98" s="94">
        <f>Data!$T306</f>
        <v>0</v>
      </c>
      <c r="Y98" s="94">
        <f>Data!$T320</f>
        <v>0</v>
      </c>
      <c r="Z98" s="94">
        <f>Data!$T334</f>
        <v>0</v>
      </c>
      <c r="AA98" s="94">
        <f>Data!$T348</f>
        <v>0</v>
      </c>
      <c r="AB98" s="94">
        <f>Data!$T362</f>
        <v>0</v>
      </c>
      <c r="AC98" s="94">
        <f>Data!$T376</f>
        <v>0</v>
      </c>
      <c r="AD98" s="94">
        <f>Data!$T390</f>
        <v>0</v>
      </c>
      <c r="AE98" s="94">
        <f>Data!$T404</f>
        <v>0</v>
      </c>
      <c r="AF98" s="94">
        <f>Data!$T418</f>
        <v>0</v>
      </c>
      <c r="AG98" s="94">
        <f>Data!$T432</f>
        <v>0</v>
      </c>
      <c r="AH98" s="94">
        <f>Data!$T446</f>
        <v>0</v>
      </c>
      <c r="AI98" s="94">
        <f>Data!$T460</f>
        <v>0</v>
      </c>
      <c r="AJ98" s="94">
        <f>Data!$T474</f>
        <v>0</v>
      </c>
      <c r="AK98" s="94">
        <f>Data!$T488</f>
        <v>0</v>
      </c>
      <c r="AL98" s="94">
        <f>Data!$T502</f>
        <v>0</v>
      </c>
      <c r="AM98" s="94">
        <f>Data!$T516</f>
        <v>0</v>
      </c>
      <c r="AN98" s="94">
        <f>Data!$T530</f>
        <v>0</v>
      </c>
      <c r="AO98" s="94">
        <f>Data!$T544</f>
        <v>0</v>
      </c>
      <c r="AP98" s="94">
        <f>Data!$T558</f>
        <v>0</v>
      </c>
      <c r="AQ98" s="94">
        <f>Data!$T572</f>
        <v>0</v>
      </c>
      <c r="AR98" s="94">
        <f>Data!$T586</f>
        <v>0</v>
      </c>
      <c r="AS98" s="94">
        <f>Data!$T600</f>
        <v>0</v>
      </c>
      <c r="AT98" s="94">
        <f>Data!$T614</f>
        <v>0</v>
      </c>
      <c r="AU98" s="94">
        <f>Data!$T628</f>
        <v>0</v>
      </c>
      <c r="AV98" s="94">
        <f>Data!$T642</f>
        <v>0</v>
      </c>
      <c r="AW98" s="94">
        <f>Data!$T656</f>
        <v>0</v>
      </c>
      <c r="AX98" s="94">
        <f>Data!$T670</f>
        <v>0</v>
      </c>
      <c r="AY98" s="94">
        <f>Data!$T684</f>
        <v>0</v>
      </c>
      <c r="AZ98" s="94">
        <f>Data!$T698</f>
        <v>0</v>
      </c>
      <c r="BA98" s="94">
        <f>Data!$T712</f>
        <v>0</v>
      </c>
      <c r="BB98" s="94">
        <f>Data!$T726</f>
        <v>0</v>
      </c>
      <c r="BC98" s="94">
        <f>Data!$T740</f>
        <v>0</v>
      </c>
      <c r="BD98" s="94">
        <f>Data!$T754</f>
        <v>0</v>
      </c>
      <c r="BE98" s="94">
        <f>Data!$T768</f>
        <v>0</v>
      </c>
      <c r="BF98" s="94">
        <f>Data!$T782</f>
        <v>0</v>
      </c>
      <c r="BG98" s="94">
        <f>Data!$T796</f>
        <v>0</v>
      </c>
      <c r="BH98" s="94">
        <f>Data!$T810</f>
        <v>0</v>
      </c>
      <c r="BI98" s="94">
        <f>Data!$T824</f>
        <v>0</v>
      </c>
      <c r="BJ98" s="94">
        <f>Data!$T838</f>
        <v>0</v>
      </c>
      <c r="BK98" s="94">
        <f>Data!$T852</f>
        <v>0</v>
      </c>
      <c r="BL98" s="94">
        <f>Data!$T866</f>
        <v>0</v>
      </c>
    </row>
    <row r="99" spans="2:64" x14ac:dyDescent="0.3">
      <c r="B99" t="str">
        <f t="shared" si="12"/>
        <v>Canada</v>
      </c>
      <c r="C99" s="94">
        <f>Data!$T13</f>
        <v>0</v>
      </c>
      <c r="D99" s="94">
        <f>Data!$T27</f>
        <v>0.21276595744680851</v>
      </c>
      <c r="E99" s="94">
        <f>Data!$T41</f>
        <v>0.6914893617021276</v>
      </c>
      <c r="F99" s="94">
        <f>Data!$T55</f>
        <v>0.31914893617021273</v>
      </c>
      <c r="G99" s="94">
        <f>Data!$T69</f>
        <v>0.26595744680851063</v>
      </c>
      <c r="H99" s="94">
        <f>Data!$T83</f>
        <v>0.71808510638297873</v>
      </c>
      <c r="I99" s="94">
        <f>Data!$T97</f>
        <v>1.1702127659574468</v>
      </c>
      <c r="J99" s="94">
        <f>Data!$T111</f>
        <v>1.3563829787234043</v>
      </c>
      <c r="K99" s="94">
        <f>Data!$T125</f>
        <v>1.1835106382978724</v>
      </c>
      <c r="L99" s="94">
        <f>Data!$T139</f>
        <v>1.5691489361702127</v>
      </c>
      <c r="M99" s="94">
        <f>Data!$T153</f>
        <v>1.4361702127659575</v>
      </c>
      <c r="N99" s="94">
        <f>Data!$T167</f>
        <v>1.9680851063829787</v>
      </c>
      <c r="O99" s="94">
        <f>Data!$T181</f>
        <v>1.5957446808510638</v>
      </c>
      <c r="P99" s="94">
        <f>Data!$T195</f>
        <v>2.2340425531914891</v>
      </c>
      <c r="Q99" s="94">
        <f>Data!$T209</f>
        <v>1.6888297872340425</v>
      </c>
      <c r="R99" s="94">
        <f>Data!$T223</f>
        <v>3.1914893617021276</v>
      </c>
      <c r="S99" s="94">
        <f>Data!$T237</f>
        <v>2.9255319148936167</v>
      </c>
      <c r="T99" s="94">
        <f>Data!$T251</f>
        <v>4.9468085106382977</v>
      </c>
      <c r="U99" s="94">
        <f>Data!$T265</f>
        <v>3.0319148936170213</v>
      </c>
      <c r="V99" s="94">
        <f>Data!$T279</f>
        <v>4.2553191489361701</v>
      </c>
      <c r="W99" s="94">
        <f>Data!$T293</f>
        <v>2.9255319148936167</v>
      </c>
      <c r="X99" s="94">
        <f>Data!$T307</f>
        <v>3.8297872340425529</v>
      </c>
      <c r="Y99" s="94">
        <f>Data!$T321</f>
        <v>3.7234042553191489</v>
      </c>
      <c r="Z99" s="94">
        <f>Data!$T335</f>
        <v>4.6010638297872335</v>
      </c>
      <c r="AA99" s="94">
        <f>Data!$T349</f>
        <v>4.1223404255319149</v>
      </c>
      <c r="AB99" s="94">
        <f>Data!$T363</f>
        <v>4.3351063829787231</v>
      </c>
      <c r="AC99" s="94">
        <f>Data!$T377</f>
        <v>3.2180851063829787</v>
      </c>
      <c r="AD99" s="94">
        <f>Data!$T391</f>
        <v>4.042553191489362</v>
      </c>
      <c r="AE99" s="94">
        <f>Data!$T405</f>
        <v>3.6436170212765955</v>
      </c>
      <c r="AF99" s="94">
        <f>Data!$T419</f>
        <v>5</v>
      </c>
      <c r="AG99" s="94">
        <f>Data!$T433</f>
        <v>5.5053191489361701</v>
      </c>
      <c r="AH99" s="94">
        <f>Data!$T447</f>
        <v>4.6542553191489358</v>
      </c>
      <c r="AI99" s="94">
        <f>Data!$T461</f>
        <v>3.8297872340425529</v>
      </c>
      <c r="AJ99" s="94">
        <f>Data!$T475</f>
        <v>5.0265957446808507</v>
      </c>
      <c r="AK99" s="94">
        <f>Data!$T489</f>
        <v>5.0265957446808507</v>
      </c>
      <c r="AL99" s="94">
        <f>Data!$T503</f>
        <v>4.5744680851063828</v>
      </c>
      <c r="AM99" s="94">
        <f>Data!$T517</f>
        <v>4.3882978723404253</v>
      </c>
      <c r="AN99" s="94">
        <f>Data!$T531</f>
        <v>3.2978723404255317</v>
      </c>
      <c r="AO99" s="94">
        <f>Data!$T545</f>
        <v>3.9893617021276593</v>
      </c>
      <c r="AP99" s="94">
        <f>Data!$T559</f>
        <v>4.6808510638297873</v>
      </c>
      <c r="AQ99" s="94">
        <f>Data!$T573</f>
        <v>3.5904255319148937</v>
      </c>
      <c r="AR99" s="94">
        <f>Data!$T587</f>
        <v>4.4680851063829783</v>
      </c>
      <c r="AS99" s="94">
        <f>Data!$T601</f>
        <v>2.3936170212765955</v>
      </c>
      <c r="AT99" s="94">
        <f>Data!$T615</f>
        <v>3.1117021276595742</v>
      </c>
      <c r="AU99" s="94">
        <f>Data!$T629</f>
        <v>2.1675531914893615</v>
      </c>
      <c r="AV99" s="94">
        <f>Data!$T643</f>
        <v>1.8617021276595744</v>
      </c>
      <c r="AW99" s="94">
        <f>Data!$T657</f>
        <v>3.1648936170212765</v>
      </c>
      <c r="AX99" s="94">
        <f>Data!$T671</f>
        <v>3.2180851063829787</v>
      </c>
      <c r="AY99" s="94">
        <f>Data!$T685</f>
        <v>2.6063829787234041</v>
      </c>
      <c r="AZ99" s="94">
        <f>Data!$T699</f>
        <v>2.7127659574468086</v>
      </c>
      <c r="BA99" s="94">
        <f>Data!$T713</f>
        <v>2.5664893617021276</v>
      </c>
      <c r="BB99" s="94">
        <f>Data!$T727</f>
        <v>2.5</v>
      </c>
      <c r="BC99" s="94">
        <f>Data!$T741</f>
        <v>3.3510638297872339</v>
      </c>
      <c r="BD99" s="94">
        <f>Data!$T755</f>
        <v>2.978723404255319</v>
      </c>
      <c r="BE99" s="94">
        <f>Data!$T769</f>
        <v>2.7127659574468086</v>
      </c>
      <c r="BF99" s="94">
        <f>Data!$T783</f>
        <v>2.5</v>
      </c>
      <c r="BG99" s="94">
        <f>Data!$T797</f>
        <v>3.3643617021276593</v>
      </c>
      <c r="BH99" s="94">
        <f>Data!$T811</f>
        <v>1.8351063829787233</v>
      </c>
      <c r="BI99" s="94">
        <f>Data!$T825</f>
        <v>2.7393617021276593</v>
      </c>
      <c r="BJ99" s="94">
        <f>Data!$T839</f>
        <v>3.6968085106382977</v>
      </c>
      <c r="BK99" s="94">
        <f>Data!$T853</f>
        <v>1.7553191489361701</v>
      </c>
      <c r="BL99" s="94">
        <f>Data!$T867</f>
        <v>1.8617021276595744</v>
      </c>
    </row>
    <row r="100" spans="2:64" x14ac:dyDescent="0.3">
      <c r="B100" t="str">
        <f t="shared" si="12"/>
        <v>USA</v>
      </c>
      <c r="C100" s="94">
        <f>Data!$T14</f>
        <v>0</v>
      </c>
      <c r="D100" s="94">
        <f>Data!$T28</f>
        <v>1.3302752293577982</v>
      </c>
      <c r="E100" s="94">
        <f>Data!$T42</f>
        <v>2.978593272171254</v>
      </c>
      <c r="F100" s="94">
        <f>Data!$T56</f>
        <v>2.4678899082568808</v>
      </c>
      <c r="G100" s="94">
        <f>Data!$T70</f>
        <v>2.9174311926605503</v>
      </c>
      <c r="H100" s="94">
        <f>Data!$T84</f>
        <v>3.3149847094801221</v>
      </c>
      <c r="I100" s="94">
        <f>Data!$T98</f>
        <v>3.7981651376146788</v>
      </c>
      <c r="J100" s="94">
        <f>Data!$T112</f>
        <v>4.1376146788990829</v>
      </c>
      <c r="K100" s="94">
        <f>Data!$T126</f>
        <v>3.5795107033639142</v>
      </c>
      <c r="L100" s="94">
        <f>Data!$T140</f>
        <v>5.8899082568807337</v>
      </c>
      <c r="M100" s="94">
        <f>Data!$T154</f>
        <v>5.813455657492355</v>
      </c>
      <c r="N100" s="94">
        <f>Data!$T168</f>
        <v>5.7400611620795106</v>
      </c>
      <c r="O100" s="94">
        <f>Data!$T182</f>
        <v>5.9357798165137616</v>
      </c>
      <c r="P100" s="94">
        <f>Data!$T196</f>
        <v>6.0366972477064218</v>
      </c>
      <c r="Q100" s="94">
        <f>Data!$T210</f>
        <v>4.6330275229357802</v>
      </c>
      <c r="R100" s="94">
        <f>Data!$T224</f>
        <v>7.0305810397553516</v>
      </c>
      <c r="S100" s="94">
        <f>Data!$T238</f>
        <v>7.620795107033639</v>
      </c>
      <c r="T100" s="94">
        <f>Data!$T252</f>
        <v>13.097859327217126</v>
      </c>
      <c r="U100" s="94">
        <f>Data!$T266</f>
        <v>12.63914373088685</v>
      </c>
      <c r="V100" s="94">
        <f>Data!$T280</f>
        <v>7.4556574923547396</v>
      </c>
      <c r="W100" s="94">
        <f>Data!$T294</f>
        <v>5.3516819571865444</v>
      </c>
      <c r="X100" s="94">
        <f>Data!$T308</f>
        <v>6.8440366972477067</v>
      </c>
      <c r="Y100" s="94">
        <f>Data!$T322</f>
        <v>8.18960244648318</v>
      </c>
      <c r="Z100" s="94">
        <f>Data!$T336</f>
        <v>6.7828746177370034</v>
      </c>
      <c r="AA100" s="94">
        <f>Data!$T350</f>
        <v>4.5596330275229358</v>
      </c>
      <c r="AB100" s="94">
        <f>Data!$T364</f>
        <v>9.5321100917431192</v>
      </c>
      <c r="AC100" s="94">
        <f>Data!$T378</f>
        <v>3.1605504587155964</v>
      </c>
      <c r="AD100" s="94">
        <f>Data!$T392</f>
        <v>6.2354740061162079</v>
      </c>
      <c r="AE100" s="94">
        <f>Data!$T406</f>
        <v>6.9663608562691133</v>
      </c>
      <c r="AF100" s="94">
        <f>Data!$T420</f>
        <v>6.2079510703363914</v>
      </c>
      <c r="AG100" s="94">
        <f>Data!$T434</f>
        <v>7.2140672782874615</v>
      </c>
      <c r="AH100" s="94">
        <f>Data!$T448</f>
        <v>5.7859327217125385</v>
      </c>
      <c r="AI100" s="94">
        <f>Data!$T462</f>
        <v>3.7507645259938838</v>
      </c>
      <c r="AJ100" s="94">
        <f>Data!$T476</f>
        <v>6.1100917431192663</v>
      </c>
      <c r="AK100" s="94">
        <f>Data!$T490</f>
        <v>8.1620795107033643</v>
      </c>
      <c r="AL100" s="94">
        <f>Data!$T504</f>
        <v>8.1100917431192663</v>
      </c>
      <c r="AM100" s="94">
        <f>Data!$T518</f>
        <v>4.287461773700306</v>
      </c>
      <c r="AN100" s="94">
        <f>Data!$T532</f>
        <v>5.3577981651376145</v>
      </c>
      <c r="AO100" s="94">
        <f>Data!$T546</f>
        <v>2.4587155963302751</v>
      </c>
      <c r="AP100" s="94">
        <f>Data!$T560</f>
        <v>5.09480122324159</v>
      </c>
      <c r="AQ100" s="94">
        <f>Data!$T574</f>
        <v>4.9724770642201834</v>
      </c>
      <c r="AR100" s="94">
        <f>Data!$T588</f>
        <v>4.9938837920489298</v>
      </c>
      <c r="AS100" s="94">
        <f>Data!$T602</f>
        <v>4.8470948012232418</v>
      </c>
      <c r="AT100" s="94">
        <f>Data!$T616</f>
        <v>4.3761467889908259</v>
      </c>
      <c r="AU100" s="94">
        <f>Data!$T630</f>
        <v>3.3746177370030579</v>
      </c>
      <c r="AV100" s="94">
        <f>Data!$T644</f>
        <v>5.1773700305810397</v>
      </c>
      <c r="AW100" s="94">
        <f>Data!$T658</f>
        <v>3.1529051987767582</v>
      </c>
      <c r="AX100" s="94">
        <f>Data!$T672</f>
        <v>3.5076452599388381</v>
      </c>
      <c r="AY100" s="94">
        <f>Data!$T686</f>
        <v>5.5626911314984708</v>
      </c>
      <c r="AZ100" s="94">
        <f>Data!$T700</f>
        <v>3.4801223241590216</v>
      </c>
      <c r="BA100" s="94">
        <f>Data!$T714</f>
        <v>1.915902140672783</v>
      </c>
      <c r="BB100" s="94">
        <f>Data!$T728</f>
        <v>1.7889908256880733</v>
      </c>
      <c r="BC100" s="94">
        <f>Data!$T742</f>
        <v>4.425076452599388</v>
      </c>
      <c r="BD100" s="94">
        <f>Data!$T756</f>
        <v>3.8929663608562692</v>
      </c>
      <c r="BE100" s="94">
        <f>Data!$T770</f>
        <v>3.5045871559633026</v>
      </c>
      <c r="BF100" s="94">
        <f>Data!$T784</f>
        <v>3.3516819571865444</v>
      </c>
      <c r="BG100" s="94">
        <f>Data!$T798</f>
        <v>2.0045871559633026</v>
      </c>
      <c r="BH100" s="94">
        <f>Data!$T812</f>
        <v>3.7951070336391437</v>
      </c>
      <c r="BI100" s="94">
        <f>Data!$T826</f>
        <v>3.0275229357798166</v>
      </c>
      <c r="BJ100" s="94">
        <f>Data!$T840</f>
        <v>3.7064220183486238</v>
      </c>
      <c r="BK100" s="94">
        <f>Data!$T854</f>
        <v>3.926605504587156</v>
      </c>
      <c r="BL100" s="94">
        <f>Data!$T868</f>
        <v>2.0581039755351682</v>
      </c>
    </row>
    <row r="102" spans="2:64" x14ac:dyDescent="0.3">
      <c r="B102" t="s">
        <v>38</v>
      </c>
      <c r="C102" s="29">
        <v>43917</v>
      </c>
      <c r="D102" s="29">
        <v>43918</v>
      </c>
      <c r="E102" s="29">
        <v>43920</v>
      </c>
      <c r="F102" s="29" t="s">
        <v>46</v>
      </c>
      <c r="G102" s="29">
        <v>43922</v>
      </c>
      <c r="H102" s="29">
        <v>43923</v>
      </c>
      <c r="I102" s="29">
        <v>43924</v>
      </c>
      <c r="J102" s="29">
        <v>43925</v>
      </c>
      <c r="K102" s="29">
        <v>43927</v>
      </c>
      <c r="L102" s="29">
        <v>43928</v>
      </c>
      <c r="M102" s="29">
        <v>43929</v>
      </c>
      <c r="N102" s="29">
        <v>43930</v>
      </c>
      <c r="O102" s="29">
        <v>43931</v>
      </c>
      <c r="P102" s="29">
        <v>43932</v>
      </c>
      <c r="Q102" s="29">
        <v>43934</v>
      </c>
      <c r="R102" s="29">
        <v>43935</v>
      </c>
      <c r="S102" s="29">
        <v>43936</v>
      </c>
      <c r="T102" s="29">
        <v>43937</v>
      </c>
      <c r="U102" s="29">
        <v>43938</v>
      </c>
      <c r="V102" s="29">
        <v>43939</v>
      </c>
      <c r="W102" s="29">
        <v>43941</v>
      </c>
      <c r="X102" s="29">
        <v>43942</v>
      </c>
      <c r="Y102" s="29">
        <v>43943</v>
      </c>
      <c r="Z102" s="29">
        <v>43944</v>
      </c>
      <c r="AA102" s="29">
        <v>43945</v>
      </c>
      <c r="AB102" s="29">
        <v>43946</v>
      </c>
      <c r="AC102" s="29">
        <v>43948</v>
      </c>
      <c r="AD102" s="29">
        <v>43949</v>
      </c>
      <c r="AE102" s="29">
        <v>43950</v>
      </c>
      <c r="AF102" s="29">
        <v>43951</v>
      </c>
      <c r="AG102" s="29">
        <v>43952</v>
      </c>
      <c r="AH102" s="29">
        <v>43953</v>
      </c>
      <c r="AI102" s="29">
        <v>43955</v>
      </c>
      <c r="AJ102" s="29">
        <v>43956</v>
      </c>
      <c r="AK102" s="29">
        <v>43957</v>
      </c>
      <c r="AL102" s="29">
        <v>43958</v>
      </c>
      <c r="AM102" s="29">
        <v>43959</v>
      </c>
      <c r="AN102" s="29">
        <v>43960</v>
      </c>
      <c r="AO102" s="29">
        <v>43962</v>
      </c>
      <c r="AP102" s="29">
        <v>43963</v>
      </c>
      <c r="AQ102" s="29">
        <v>43964</v>
      </c>
      <c r="AR102" s="29">
        <v>43965</v>
      </c>
      <c r="AS102" s="29">
        <v>43966</v>
      </c>
      <c r="AT102" s="29">
        <v>43967</v>
      </c>
      <c r="AU102" s="29">
        <v>43969</v>
      </c>
      <c r="AV102" s="29">
        <v>43970</v>
      </c>
      <c r="AW102" s="29">
        <v>43971</v>
      </c>
      <c r="AX102" s="29">
        <v>43972</v>
      </c>
      <c r="AY102" s="29">
        <v>43973</v>
      </c>
      <c r="AZ102" s="29">
        <v>43974</v>
      </c>
      <c r="BA102" s="29">
        <v>43976</v>
      </c>
      <c r="BB102" s="29">
        <v>43977</v>
      </c>
      <c r="BC102" s="29">
        <v>43978</v>
      </c>
      <c r="BD102" s="29">
        <v>43979</v>
      </c>
      <c r="BE102" s="29">
        <v>43980</v>
      </c>
      <c r="BF102" s="29">
        <v>43981</v>
      </c>
      <c r="BG102" s="29">
        <v>43983</v>
      </c>
      <c r="BH102" s="29">
        <v>43984</v>
      </c>
      <c r="BI102" s="29">
        <v>43985</v>
      </c>
      <c r="BJ102" s="29">
        <v>43986</v>
      </c>
      <c r="BK102" s="29">
        <v>43987</v>
      </c>
      <c r="BL102" s="29">
        <v>43988</v>
      </c>
    </row>
    <row r="103" spans="2:64" x14ac:dyDescent="0.3">
      <c r="B103" t="str">
        <f>B89</f>
        <v>Ontario</v>
      </c>
      <c r="C103" s="42">
        <f>Data!$H3</f>
        <v>967</v>
      </c>
      <c r="D103" s="42">
        <f>Data!$H17</f>
        <v>1326</v>
      </c>
      <c r="E103" s="42">
        <f>Data!$H31</f>
        <v>1242</v>
      </c>
      <c r="F103" s="42">
        <f>Data!$H45</f>
        <v>1399</v>
      </c>
      <c r="G103" s="42">
        <f>Data!$H59</f>
        <v>1666</v>
      </c>
      <c r="H103" s="42">
        <f>Data!$H73</f>
        <v>1909</v>
      </c>
      <c r="I103" s="42">
        <f>Data!$H87</f>
        <v>2165</v>
      </c>
      <c r="J103" s="42">
        <f>Data!$H101</f>
        <v>2317</v>
      </c>
      <c r="K103" s="42">
        <f>Data!$H115</f>
        <v>2591</v>
      </c>
      <c r="L103" s="42">
        <f>Data!$H129</f>
        <v>2771</v>
      </c>
      <c r="M103" s="42">
        <f>Data!$H143</f>
        <v>3028</v>
      </c>
      <c r="N103" s="42">
        <f>Data!$H157</f>
        <v>3254</v>
      </c>
      <c r="O103" s="42">
        <f>Data!$H171</f>
        <v>3441</v>
      </c>
      <c r="P103" s="42">
        <f>Data!$H185</f>
        <v>3537</v>
      </c>
      <c r="Q103" s="42">
        <f>Data!$H199</f>
        <v>3822</v>
      </c>
      <c r="R103" s="42">
        <f>Data!$H213</f>
        <v>4051</v>
      </c>
      <c r="S103" s="42">
        <f>Data!$H227</f>
        <v>4190</v>
      </c>
      <c r="T103" s="42">
        <f>Data!$H241</f>
        <v>4344</v>
      </c>
      <c r="U103" s="42">
        <f>Data!$H255</f>
        <v>4491</v>
      </c>
      <c r="V103" s="42">
        <f>Data!$H269</f>
        <v>4578</v>
      </c>
      <c r="W103" s="42">
        <f>Data!$H283</f>
        <v>5085</v>
      </c>
      <c r="X103" s="42">
        <f>Data!$H297</f>
        <v>5307</v>
      </c>
      <c r="Y103" s="42">
        <f>Data!$H311</f>
        <v>5365</v>
      </c>
      <c r="Z103" s="42">
        <f>Data!$H325</f>
        <v>5486</v>
      </c>
      <c r="AA103" s="42">
        <f>Data!$H339</f>
        <v>5669</v>
      </c>
      <c r="AB103" s="42">
        <f>Data!$H353</f>
        <v>5675</v>
      </c>
      <c r="AC103" s="42">
        <f>Data!$H367</f>
        <v>5439</v>
      </c>
      <c r="AD103" s="42">
        <f>Data!$H381</f>
        <v>5466</v>
      </c>
      <c r="AE103" s="42">
        <f>Data!$H395</f>
        <v>5120</v>
      </c>
      <c r="AF103" s="42">
        <f>Data!$H409</f>
        <v>4900</v>
      </c>
      <c r="AG103" s="42">
        <f>Data!$H423</f>
        <v>4662</v>
      </c>
      <c r="AH103" s="42">
        <f>Data!$H437</f>
        <v>4553</v>
      </c>
      <c r="AI103" s="42">
        <f>Data!$H451</f>
        <v>4118</v>
      </c>
      <c r="AJ103" s="42">
        <f>Data!$H465</f>
        <v>4170</v>
      </c>
      <c r="AK103" s="42">
        <f>Data!$H479</f>
        <v>4071</v>
      </c>
      <c r="AL103" s="42">
        <f>Data!$H493</f>
        <v>4075</v>
      </c>
      <c r="AM103" s="42">
        <f>Data!$H507</f>
        <v>4068</v>
      </c>
      <c r="AN103" s="42">
        <f>Data!$H521</f>
        <v>3962</v>
      </c>
      <c r="AO103" s="42">
        <f>Data!$H535</f>
        <v>3746</v>
      </c>
      <c r="AP103" s="42">
        <f>Data!$H549</f>
        <v>3791</v>
      </c>
      <c r="AQ103" s="42">
        <f>Data!$H563</f>
        <v>3626</v>
      </c>
      <c r="AR103" s="42">
        <f>Data!$H577</f>
        <v>3492</v>
      </c>
      <c r="AS103" s="42">
        <f>Data!$H591</f>
        <v>3456</v>
      </c>
      <c r="AT103" s="42">
        <f>Data!$H605</f>
        <v>3435</v>
      </c>
      <c r="AU103" s="42">
        <f>Data!$H619</f>
        <v>3415</v>
      </c>
      <c r="AV103" s="42">
        <f>Data!$H633</f>
        <v>3567</v>
      </c>
      <c r="AW103" s="42">
        <f>Data!$H647</f>
        <v>3622</v>
      </c>
      <c r="AX103" s="42">
        <f>Data!$H661</f>
        <v>3685</v>
      </c>
      <c r="AY103" s="42">
        <f>Data!$H675</f>
        <v>3840</v>
      </c>
      <c r="AZ103" s="42">
        <f>Data!$H689</f>
        <v>3846</v>
      </c>
      <c r="BA103" s="42">
        <f>Data!$H703</f>
        <v>4104</v>
      </c>
      <c r="BB103" s="42">
        <f>Data!$H717</f>
        <v>4110</v>
      </c>
      <c r="BC103" s="42">
        <f>Data!$H731</f>
        <v>3956</v>
      </c>
      <c r="BD103" s="42">
        <f>Data!$H745</f>
        <v>4004</v>
      </c>
      <c r="BE103" s="42">
        <f>Data!$H759</f>
        <v>3997</v>
      </c>
      <c r="BF103" s="42">
        <f>Data!$H773</f>
        <v>3933</v>
      </c>
      <c r="BG103" s="42">
        <f>Data!$H787</f>
        <v>3834</v>
      </c>
      <c r="BH103" s="42">
        <f>Data!$H801</f>
        <v>3932</v>
      </c>
      <c r="BI103" s="42">
        <f>Data!$H815</f>
        <v>3924</v>
      </c>
      <c r="BJ103" s="42">
        <f>Data!$H829</f>
        <v>3838</v>
      </c>
      <c r="BK103" s="42">
        <f>Data!$H843</f>
        <v>3792</v>
      </c>
      <c r="BL103" s="42">
        <f>Data!$H857</f>
        <v>3848</v>
      </c>
    </row>
    <row r="104" spans="2:64" x14ac:dyDescent="0.3">
      <c r="B104" t="str">
        <f t="shared" ref="B104:B112" si="13">B90</f>
        <v>Quebec</v>
      </c>
      <c r="C104" s="42">
        <f>Data!$H4</f>
        <v>1974</v>
      </c>
      <c r="D104" s="42">
        <f>Data!$H18</f>
        <v>2447</v>
      </c>
      <c r="E104" s="42">
        <f>Data!$H32</f>
        <v>3376</v>
      </c>
      <c r="F104" s="42">
        <f>Data!$H46</f>
        <v>4102</v>
      </c>
      <c r="G104" s="42">
        <f>Data!$H60</f>
        <v>4549</v>
      </c>
      <c r="H104" s="42">
        <f>Data!$H74</f>
        <v>5453</v>
      </c>
      <c r="I104" s="42">
        <f>Data!$H88</f>
        <v>5734</v>
      </c>
      <c r="J104" s="42">
        <f>Data!$H102</f>
        <v>6616</v>
      </c>
      <c r="K104" s="42">
        <f>Data!$H116</f>
        <v>7848</v>
      </c>
      <c r="L104" s="42">
        <f>Data!$H130</f>
        <v>8470</v>
      </c>
      <c r="M104" s="42">
        <f>Data!$H144</f>
        <v>9029</v>
      </c>
      <c r="N104" s="42">
        <f>Data!$H158</f>
        <v>9584</v>
      </c>
      <c r="O104" s="42">
        <f>Data!$H172</f>
        <v>10095</v>
      </c>
      <c r="P104" s="42">
        <f>Data!$H186</f>
        <v>10662</v>
      </c>
      <c r="Q104" s="42">
        <f>Data!$H200</f>
        <v>11215</v>
      </c>
      <c r="R104" s="42">
        <f>Data!$H214</f>
        <v>11667</v>
      </c>
      <c r="S104" s="42">
        <f>Data!$H228</f>
        <v>11882</v>
      </c>
      <c r="T104" s="42">
        <f>Data!$H242</f>
        <v>12386</v>
      </c>
      <c r="U104" s="42">
        <f>Data!$H256</f>
        <v>13033</v>
      </c>
      <c r="V104" s="42">
        <f>Data!$H270</f>
        <v>13401</v>
      </c>
      <c r="W104" s="42">
        <f>Data!$H284</f>
        <v>14533</v>
      </c>
      <c r="X104" s="42">
        <f>Data!$H298</f>
        <v>15037</v>
      </c>
      <c r="Y104" s="42">
        <f>Data!$H312</f>
        <v>15540</v>
      </c>
      <c r="Z104" s="42">
        <f>Data!$H326</f>
        <v>16111</v>
      </c>
      <c r="AA104" s="42">
        <f>Data!$H340</f>
        <v>16552</v>
      </c>
      <c r="AB104" s="42">
        <f>Data!$H354</f>
        <v>16764</v>
      </c>
      <c r="AC104" s="42">
        <f>Data!$H368</f>
        <v>17866</v>
      </c>
      <c r="AD104" s="42">
        <f>Data!$H382</f>
        <v>18234</v>
      </c>
      <c r="AE104" s="42">
        <f>Data!$H396</f>
        <v>18785</v>
      </c>
      <c r="AF104" s="42">
        <f>Data!$H410</f>
        <v>19380</v>
      </c>
      <c r="AG104" s="42">
        <f>Data!$H424</f>
        <v>19926</v>
      </c>
      <c r="AH104" s="42">
        <f>Data!$H438</f>
        <v>20555</v>
      </c>
      <c r="AI104" s="42">
        <f>Data!$H452</f>
        <v>22765</v>
      </c>
      <c r="AJ104" s="42">
        <f>Data!$H466</f>
        <v>23096</v>
      </c>
      <c r="AK104" s="42">
        <f>Data!$H480</f>
        <v>23533</v>
      </c>
      <c r="AL104" s="42">
        <f>Data!$H494</f>
        <v>23934</v>
      </c>
      <c r="AM104" s="42">
        <f>Data!$H508</f>
        <v>24497</v>
      </c>
      <c r="AN104" s="42">
        <f>Data!$H522</f>
        <v>24932</v>
      </c>
      <c r="AO104" s="42">
        <f>Data!$H536</f>
        <v>25753</v>
      </c>
      <c r="AP104" s="42">
        <f>Data!$H550</f>
        <v>26038</v>
      </c>
      <c r="AQ104" s="42">
        <f>Data!$H564</f>
        <v>26241</v>
      </c>
      <c r="AR104" s="42">
        <f>Data!$H578</f>
        <v>26631</v>
      </c>
      <c r="AS104" s="42">
        <f>Data!$H592</f>
        <v>26980</v>
      </c>
      <c r="AT104" s="42">
        <f>Data!$H606</f>
        <v>27242</v>
      </c>
      <c r="AU104" s="42">
        <f>Data!$H620</f>
        <v>27986</v>
      </c>
      <c r="AV104" s="42">
        <f>Data!$H634</f>
        <v>28053</v>
      </c>
      <c r="AW104" s="42">
        <f>Data!$H648</f>
        <v>28235</v>
      </c>
      <c r="AX104" s="42">
        <f>Data!$H662</f>
        <v>28368</v>
      </c>
      <c r="AY104" s="42">
        <f>Data!$H676</f>
        <v>28457</v>
      </c>
      <c r="AZ104" s="42">
        <f>Data!$H690</f>
        <v>28854</v>
      </c>
      <c r="BA104" s="42">
        <f>Data!$H704</f>
        <v>29261</v>
      </c>
      <c r="BB104" s="42">
        <f>Data!$H718</f>
        <v>29460</v>
      </c>
      <c r="BC104" s="42">
        <f>Data!$H732</f>
        <v>29592</v>
      </c>
      <c r="BD104" s="42">
        <f>Data!$H746</f>
        <v>29782</v>
      </c>
      <c r="BE104" s="42">
        <f>Data!$H760</f>
        <v>29961</v>
      </c>
      <c r="BF104" s="42">
        <f>Data!$H774</f>
        <v>30142</v>
      </c>
      <c r="BG104" s="42">
        <f>Data!$H788</f>
        <v>30096</v>
      </c>
      <c r="BH104" s="42">
        <f>Data!$H802</f>
        <v>30077</v>
      </c>
      <c r="BI104" s="42">
        <f>Data!$H816</f>
        <v>29992</v>
      </c>
      <c r="BJ104" s="42">
        <f>Data!$H830</f>
        <v>29922</v>
      </c>
      <c r="BK104" s="42">
        <f>Data!$H844</f>
        <v>29699</v>
      </c>
      <c r="BL104" s="42">
        <f>Data!$H858</f>
        <v>29242</v>
      </c>
    </row>
    <row r="105" spans="2:64" x14ac:dyDescent="0.3">
      <c r="B105" t="str">
        <f t="shared" si="13"/>
        <v>BC</v>
      </c>
      <c r="C105" s="42">
        <f>Data!$H5</f>
        <v>501</v>
      </c>
      <c r="D105" s="42">
        <f>Data!$H19</f>
        <v>471</v>
      </c>
      <c r="E105" s="42">
        <f>Data!$H33</f>
        <v>482</v>
      </c>
      <c r="F105" s="42">
        <f>Data!$H47</f>
        <v>482</v>
      </c>
      <c r="G105" s="42">
        <f>Data!$H61</f>
        <v>435</v>
      </c>
      <c r="H105" s="42">
        <f>Data!$H75</f>
        <v>449</v>
      </c>
      <c r="I105" s="42">
        <f>Data!$H89</f>
        <v>498</v>
      </c>
      <c r="J105" s="42">
        <f>Data!$H103</f>
        <v>461</v>
      </c>
      <c r="K105" s="42">
        <f>Data!$H117</f>
        <v>444</v>
      </c>
      <c r="L105" s="42">
        <f>Data!$H131</f>
        <v>443</v>
      </c>
      <c r="M105" s="42">
        <f>Data!$H145</f>
        <v>450</v>
      </c>
      <c r="N105" s="42">
        <f>Data!$H159</f>
        <v>468</v>
      </c>
      <c r="O105" s="42">
        <f>Data!$H173</f>
        <v>476</v>
      </c>
      <c r="P105" s="42">
        <f>Data!$H187</f>
        <v>482</v>
      </c>
      <c r="Q105" s="42">
        <f>Data!$H201</f>
        <v>495</v>
      </c>
      <c r="R105" s="42">
        <f>Data!$H215</f>
        <v>503</v>
      </c>
      <c r="S105" s="42">
        <f>Data!$H229</f>
        <v>491</v>
      </c>
      <c r="T105" s="42">
        <f>Data!$H243</f>
        <v>514</v>
      </c>
      <c r="U105" s="42">
        <f>Data!$H257</f>
        <v>574</v>
      </c>
      <c r="V105" s="42">
        <f>Data!$H271</f>
        <v>579</v>
      </c>
      <c r="W105" s="42">
        <f>Data!$H285</f>
        <v>574</v>
      </c>
      <c r="X105" s="42">
        <f>Data!$H299</f>
        <v>596</v>
      </c>
      <c r="Y105" s="42">
        <f>Data!$H313</f>
        <v>626</v>
      </c>
      <c r="Z105" s="42">
        <f>Data!$H327</f>
        <v>638</v>
      </c>
      <c r="AA105" s="42">
        <f>Data!$H341</f>
        <v>641</v>
      </c>
      <c r="AB105" s="42">
        <f>Data!$H355</f>
        <v>711</v>
      </c>
      <c r="AC105" s="42">
        <f>Data!$H369</f>
        <v>705</v>
      </c>
      <c r="AD105" s="42">
        <f>Data!$H383</f>
        <v>717</v>
      </c>
      <c r="AE105" s="42">
        <f>Data!$H397</f>
        <v>673</v>
      </c>
      <c r="AF105" s="42">
        <f>Data!$H411</f>
        <v>676</v>
      </c>
      <c r="AG105" s="42">
        <f>Data!$H425</f>
        <v>679</v>
      </c>
      <c r="AH105" s="42">
        <f>Data!$H439</f>
        <v>676</v>
      </c>
      <c r="AI105" s="42">
        <f>Data!$H453</f>
        <v>690</v>
      </c>
      <c r="AJ105" s="42">
        <f>Data!$H467</f>
        <v>639</v>
      </c>
      <c r="AK105" s="42">
        <f>Data!$H481</f>
        <v>637</v>
      </c>
      <c r="AL105" s="42">
        <f>Data!$H495</f>
        <v>650</v>
      </c>
      <c r="AM105" s="42">
        <f>Data!$H509</f>
        <v>609</v>
      </c>
      <c r="AN105" s="42">
        <f>Data!$H523</f>
        <v>542</v>
      </c>
      <c r="AO105" s="42">
        <f>Data!$H537</f>
        <v>504</v>
      </c>
      <c r="AP105" s="42">
        <f>Data!$H551</f>
        <v>397</v>
      </c>
      <c r="AQ105" s="42">
        <f>Data!$H565</f>
        <v>385</v>
      </c>
      <c r="AR105" s="42">
        <f>Data!$H579</f>
        <v>372</v>
      </c>
      <c r="AS105" s="42">
        <f>Data!$H593</f>
        <v>359</v>
      </c>
      <c r="AT105" s="42">
        <f>Data!$H607</f>
        <v>355</v>
      </c>
      <c r="AU105" s="42">
        <f>Data!$H621</f>
        <v>335</v>
      </c>
      <c r="AV105" s="42">
        <f>Data!$H635</f>
        <v>325</v>
      </c>
      <c r="AW105" s="42">
        <f>Data!$H649</f>
        <v>343</v>
      </c>
      <c r="AX105" s="42">
        <f>Data!$H663</f>
        <v>307</v>
      </c>
      <c r="AY105" s="42">
        <f>Data!$H677</f>
        <v>310</v>
      </c>
      <c r="AZ105" s="42">
        <f>Data!$H691</f>
        <v>303</v>
      </c>
      <c r="BA105" s="42">
        <f>Data!$H705</f>
        <v>266</v>
      </c>
      <c r="BB105" s="42">
        <f>Data!$H719</f>
        <v>258</v>
      </c>
      <c r="BC105" s="42">
        <f>Data!$H733</f>
        <v>244</v>
      </c>
      <c r="BD105" s="42">
        <f>Data!$H747</f>
        <v>241</v>
      </c>
      <c r="BE105" s="42">
        <f>Data!$H761</f>
        <v>228</v>
      </c>
      <c r="BF105" s="42">
        <f>Data!$H775</f>
        <v>228</v>
      </c>
      <c r="BG105" s="42">
        <f>Data!$H789</f>
        <v>225</v>
      </c>
      <c r="BH105" s="42">
        <f>Data!$H803</f>
        <v>207</v>
      </c>
      <c r="BI105" s="42">
        <f>Data!$H817</f>
        <v>214</v>
      </c>
      <c r="BJ105" s="42">
        <f>Data!$H831</f>
        <v>201</v>
      </c>
      <c r="BK105" s="42">
        <f>Data!$H845</f>
        <v>193</v>
      </c>
      <c r="BL105" s="42">
        <f>Data!$H859</f>
        <v>193</v>
      </c>
    </row>
    <row r="106" spans="2:64" x14ac:dyDescent="0.3">
      <c r="B106" t="str">
        <f t="shared" si="13"/>
        <v>Alberta</v>
      </c>
      <c r="C106" s="42">
        <f>Data!$H6</f>
        <v>507</v>
      </c>
      <c r="D106" s="42">
        <f>Data!$H20</f>
        <v>566</v>
      </c>
      <c r="E106" s="42">
        <f>Data!$H34</f>
        <v>588</v>
      </c>
      <c r="F106" s="42">
        <f>Data!$H48</f>
        <v>625</v>
      </c>
      <c r="G106" s="42">
        <f>Data!$H62</f>
        <v>718</v>
      </c>
      <c r="H106" s="42">
        <f>Data!$H76</f>
        <v>781</v>
      </c>
      <c r="I106" s="42">
        <f>Data!$H90</f>
        <v>849</v>
      </c>
      <c r="J106" s="42">
        <f>Data!$H104</f>
        <v>965</v>
      </c>
      <c r="K106" s="42">
        <f>Data!$H118</f>
        <v>932</v>
      </c>
      <c r="L106" s="42">
        <f>Data!$H132</f>
        <v>900</v>
      </c>
      <c r="M106" s="42">
        <f>Data!$H146</f>
        <v>875</v>
      </c>
      <c r="N106" s="42">
        <f>Data!$H160</f>
        <v>827</v>
      </c>
      <c r="O106" s="42">
        <f>Data!$H174</f>
        <v>748</v>
      </c>
      <c r="P106" s="42">
        <f>Data!$H188</f>
        <v>756</v>
      </c>
      <c r="Q106" s="42">
        <f>Data!$H202</f>
        <v>809</v>
      </c>
      <c r="R106" s="42">
        <f>Data!$H216</f>
        <v>908</v>
      </c>
      <c r="S106" s="42">
        <f>Data!$H230</f>
        <v>1034</v>
      </c>
      <c r="T106" s="42">
        <f>Data!$H244</f>
        <v>1194</v>
      </c>
      <c r="U106" s="42">
        <f>Data!$H258</f>
        <v>1223</v>
      </c>
      <c r="V106" s="42">
        <f>Data!$H272</f>
        <v>1164</v>
      </c>
      <c r="W106" s="42">
        <f>Data!$H286</f>
        <v>1619</v>
      </c>
      <c r="X106" s="42">
        <f>Data!$H300</f>
        <v>1761</v>
      </c>
      <c r="Y106" s="42">
        <f>Data!$H314</f>
        <v>2025</v>
      </c>
      <c r="Z106" s="42">
        <f>Data!$H328</f>
        <v>2296</v>
      </c>
      <c r="AA106" s="42">
        <f>Data!$H342</f>
        <v>2548</v>
      </c>
      <c r="AB106" s="42">
        <f>Data!$H356</f>
        <v>2679</v>
      </c>
      <c r="AC106" s="42">
        <f>Data!$H370</f>
        <v>2957</v>
      </c>
      <c r="AD106" s="42">
        <f>Data!$H384</f>
        <v>2970</v>
      </c>
      <c r="AE106" s="42">
        <f>Data!$H398</f>
        <v>3125</v>
      </c>
      <c r="AF106" s="42">
        <f>Data!$H412</f>
        <v>3105</v>
      </c>
      <c r="AG106" s="42">
        <f>Data!$H426</f>
        <v>3122</v>
      </c>
      <c r="AH106" s="42">
        <f>Data!$H440</f>
        <v>3042</v>
      </c>
      <c r="AI106" s="42">
        <f>Data!$H454</f>
        <v>2817</v>
      </c>
      <c r="AJ106" s="42">
        <f>Data!$H468</f>
        <v>2568</v>
      </c>
      <c r="AK106" s="42">
        <f>Data!$H482</f>
        <v>2299</v>
      </c>
      <c r="AL106" s="42">
        <f>Data!$H496</f>
        <v>2094</v>
      </c>
      <c r="AM106" s="42">
        <f>Data!$H510</f>
        <v>1963</v>
      </c>
      <c r="AN106" s="42">
        <f>Data!$H524</f>
        <v>1837</v>
      </c>
      <c r="AO106" s="42">
        <f>Data!$H538</f>
        <v>1524</v>
      </c>
      <c r="AP106" s="42">
        <f>Data!$H552</f>
        <v>1361</v>
      </c>
      <c r="AQ106" s="42">
        <f>Data!$H566</f>
        <v>1211</v>
      </c>
      <c r="AR106" s="42">
        <f>Data!$H580</f>
        <v>1131</v>
      </c>
      <c r="AS106" s="42">
        <f>Data!$H594</f>
        <v>1073</v>
      </c>
      <c r="AT106" s="42">
        <f>Data!$H608</f>
        <v>1084</v>
      </c>
      <c r="AU106" s="42">
        <f>Data!$H622</f>
        <v>1036</v>
      </c>
      <c r="AV106" s="42">
        <f>Data!$H636</f>
        <v>1004</v>
      </c>
      <c r="AW106" s="42">
        <f>Data!$H650</f>
        <v>970</v>
      </c>
      <c r="AX106" s="42">
        <f>Data!$H664</f>
        <v>926</v>
      </c>
      <c r="AY106" s="42">
        <f>Data!$H678</f>
        <v>865</v>
      </c>
      <c r="AZ106" s="42">
        <f>Data!$H692</f>
        <v>814</v>
      </c>
      <c r="BA106" s="42">
        <f>Data!$H706</f>
        <v>762</v>
      </c>
      <c r="BB106" s="42">
        <f>Data!$H720</f>
        <v>714</v>
      </c>
      <c r="BC106" s="42">
        <f>Data!$H734</f>
        <v>679</v>
      </c>
      <c r="BD106" s="42">
        <f>Data!$H748</f>
        <v>652</v>
      </c>
      <c r="BE106" s="42">
        <f>Data!$H762</f>
        <v>618</v>
      </c>
      <c r="BF106" s="42">
        <f>Data!$H776</f>
        <v>604</v>
      </c>
      <c r="BG106" s="42">
        <f>Data!$H790</f>
        <v>400</v>
      </c>
      <c r="BH106" s="42">
        <f>Data!$H804</f>
        <v>377</v>
      </c>
      <c r="BI106" s="42">
        <f>Data!$H818</f>
        <v>344</v>
      </c>
      <c r="BJ106" s="42">
        <f>Data!$H832</f>
        <v>334</v>
      </c>
      <c r="BK106" s="42">
        <f>Data!$H846</f>
        <v>328</v>
      </c>
      <c r="BL106" s="42">
        <f>Data!$H860</f>
        <v>336</v>
      </c>
    </row>
    <row r="107" spans="2:64" x14ac:dyDescent="0.3">
      <c r="B107" t="str">
        <f t="shared" si="13"/>
        <v>Manitoba</v>
      </c>
      <c r="C107" s="42">
        <f>Data!$H7</f>
        <v>38</v>
      </c>
      <c r="D107" s="42">
        <f>Data!$H21</f>
        <v>63</v>
      </c>
      <c r="E107" s="42">
        <f>Data!$H35</f>
        <v>93</v>
      </c>
      <c r="F107" s="42">
        <f>Data!$H49</f>
        <v>98</v>
      </c>
      <c r="G107" s="42">
        <f>Data!$H63</f>
        <v>122</v>
      </c>
      <c r="H107" s="42">
        <f>Data!$H77</f>
        <v>155</v>
      </c>
      <c r="I107" s="42">
        <f>Data!$H91</f>
        <v>172</v>
      </c>
      <c r="J107" s="42">
        <f>Data!$H105</f>
        <v>181</v>
      </c>
      <c r="K107" s="42">
        <f>Data!$H119</f>
        <v>185</v>
      </c>
      <c r="L107" s="42">
        <f>Data!$H133</f>
        <v>193</v>
      </c>
      <c r="M107" s="42">
        <f>Data!$H147</f>
        <v>149</v>
      </c>
      <c r="N107" s="42">
        <f>Data!$H161</f>
        <v>145</v>
      </c>
      <c r="O107" s="42">
        <f>Data!$H175</f>
        <v>134</v>
      </c>
      <c r="P107" s="42">
        <f>Data!$H189</f>
        <v>143</v>
      </c>
      <c r="Q107" s="42">
        <f>Data!$H203</f>
        <v>143</v>
      </c>
      <c r="R107" s="42">
        <f>Data!$H217</f>
        <v>143</v>
      </c>
      <c r="S107" s="42">
        <f>Data!$H231</f>
        <v>133</v>
      </c>
      <c r="T107" s="42">
        <f>Data!$H245</f>
        <v>124</v>
      </c>
      <c r="U107" s="42">
        <f>Data!$H259</f>
        <v>113</v>
      </c>
      <c r="V107" s="42">
        <f>Data!$H273</f>
        <v>108</v>
      </c>
      <c r="W107" s="42">
        <f>Data!$H287</f>
        <v>104</v>
      </c>
      <c r="X107" s="42">
        <f>Data!$H301</f>
        <v>99</v>
      </c>
      <c r="Y107" s="42">
        <f>Data!$H315</f>
        <v>97</v>
      </c>
      <c r="Z107" s="42">
        <f>Data!$H329</f>
        <v>82</v>
      </c>
      <c r="AA107" s="42">
        <f>Data!$H343</f>
        <v>61</v>
      </c>
      <c r="AB107" s="42">
        <f>Data!$H357</f>
        <v>62</v>
      </c>
      <c r="AC107" s="42">
        <f>Data!$H371</f>
        <v>61</v>
      </c>
      <c r="AD107" s="42">
        <f>Data!$H385</f>
        <v>61</v>
      </c>
      <c r="AE107" s="42">
        <f>Data!$H399</f>
        <v>54</v>
      </c>
      <c r="AF107" s="42">
        <f>Data!$H413</f>
        <v>49</v>
      </c>
      <c r="AG107" s="42">
        <f>Data!$H427</f>
        <v>38</v>
      </c>
      <c r="AH107" s="42">
        <f>Data!$H441</f>
        <v>38</v>
      </c>
      <c r="AI107" s="42">
        <f>Data!$H455</f>
        <v>37</v>
      </c>
      <c r="AJ107" s="42">
        <f>Data!$H469</f>
        <v>37</v>
      </c>
      <c r="AK107" s="42">
        <f>Data!$H483</f>
        <v>34</v>
      </c>
      <c r="AL107" s="42">
        <f>Data!$H497</f>
        <v>34</v>
      </c>
      <c r="AM107" s="42">
        <f>Data!$H511</f>
        <v>30</v>
      </c>
      <c r="AN107" s="42">
        <f>Data!$H525</f>
        <v>30</v>
      </c>
      <c r="AO107" s="42">
        <f>Data!$H539</f>
        <v>35</v>
      </c>
      <c r="AP107" s="42">
        <f>Data!$H553</f>
        <v>32</v>
      </c>
      <c r="AQ107" s="42">
        <f>Data!$H567</f>
        <v>32</v>
      </c>
      <c r="AR107" s="42">
        <f>Data!$H581</f>
        <v>30</v>
      </c>
      <c r="AS107" s="42">
        <f>Data!$H595</f>
        <v>28</v>
      </c>
      <c r="AT107" s="42">
        <f>Data!$H609</f>
        <v>25</v>
      </c>
      <c r="AU107" s="42">
        <f>Data!$H623</f>
        <v>26</v>
      </c>
      <c r="AV107" s="42">
        <f>Data!$H637</f>
        <v>26</v>
      </c>
      <c r="AW107" s="42">
        <f>Data!$H651</f>
        <v>23</v>
      </c>
      <c r="AX107" s="42">
        <f>Data!$H665</f>
        <v>18</v>
      </c>
      <c r="AY107" s="42">
        <f>Data!$H679</f>
        <v>18</v>
      </c>
      <c r="AZ107" s="42">
        <f>Data!$H693</f>
        <v>17</v>
      </c>
      <c r="BA107" s="42">
        <f>Data!$H707</f>
        <v>17</v>
      </c>
      <c r="BB107" s="42">
        <f>Data!$H721</f>
        <v>16</v>
      </c>
      <c r="BC107" s="42">
        <f>Data!$H735</f>
        <v>14</v>
      </c>
      <c r="BD107" s="42">
        <f>Data!$H749</f>
        <v>14</v>
      </c>
      <c r="BE107" s="42">
        <f>Data!$H763</f>
        <v>14</v>
      </c>
      <c r="BF107" s="42">
        <f>Data!$H777</f>
        <v>9</v>
      </c>
      <c r="BG107" s="42">
        <f>Data!$H791</f>
        <v>10</v>
      </c>
      <c r="BH107" s="42">
        <f>Data!$H805</f>
        <v>12</v>
      </c>
      <c r="BI107" s="42">
        <f>Data!$H819</f>
        <v>9</v>
      </c>
      <c r="BJ107" s="42">
        <f>Data!$H833</f>
        <v>7</v>
      </c>
      <c r="BK107" s="42">
        <f>Data!$H847</f>
        <v>9</v>
      </c>
      <c r="BL107" s="42">
        <f>Data!$H861</f>
        <v>9</v>
      </c>
    </row>
    <row r="108" spans="2:64" x14ac:dyDescent="0.3">
      <c r="B108" t="str">
        <f t="shared" si="13"/>
        <v>Sask</v>
      </c>
      <c r="C108" s="42">
        <f>Data!$H8</f>
        <v>101</v>
      </c>
      <c r="D108" s="42">
        <f>Data!$H22</f>
        <v>131</v>
      </c>
      <c r="E108" s="42">
        <f>Data!$H36</f>
        <v>166</v>
      </c>
      <c r="F108" s="42">
        <f>Data!$H50</f>
        <v>161</v>
      </c>
      <c r="G108" s="42">
        <f>Data!$H64</f>
        <v>160</v>
      </c>
      <c r="H108" s="42">
        <f>Data!$H78</f>
        <v>167</v>
      </c>
      <c r="I108" s="42">
        <f>Data!$H92</f>
        <v>169</v>
      </c>
      <c r="J108" s="42">
        <f>Data!$H106</f>
        <v>173</v>
      </c>
      <c r="K108" s="42">
        <f>Data!$H120</f>
        <v>169</v>
      </c>
      <c r="L108" s="42">
        <f>Data!$H134</f>
        <v>169</v>
      </c>
      <c r="M108" s="42">
        <f>Data!$H148</f>
        <v>165</v>
      </c>
      <c r="N108" s="42">
        <f>Data!$H162</f>
        <v>160</v>
      </c>
      <c r="O108" s="42">
        <f>Data!$H176</f>
        <v>146</v>
      </c>
      <c r="P108" s="42">
        <f>Data!$H190</f>
        <v>138</v>
      </c>
      <c r="Q108" s="42">
        <f>Data!$H204</f>
        <v>118</v>
      </c>
      <c r="R108" s="42">
        <f>Data!$H218</f>
        <v>110</v>
      </c>
      <c r="S108" s="42">
        <f>Data!$H232</f>
        <v>95</v>
      </c>
      <c r="T108" s="42">
        <f>Data!$H246</f>
        <v>82</v>
      </c>
      <c r="U108" s="42">
        <f>Data!$H260</f>
        <v>75</v>
      </c>
      <c r="V108" s="42">
        <f>Data!$H274</f>
        <v>75</v>
      </c>
      <c r="W108" s="42">
        <f>Data!$H288</f>
        <v>74</v>
      </c>
      <c r="X108" s="42">
        <f>Data!$H302</f>
        <v>64</v>
      </c>
      <c r="Y108" s="42">
        <f>Data!$H316</f>
        <v>61</v>
      </c>
      <c r="Z108" s="42">
        <f>Data!$H330</f>
        <v>57</v>
      </c>
      <c r="AA108" s="42">
        <f>Data!$H344</f>
        <v>57</v>
      </c>
      <c r="AB108" s="42">
        <f>Data!$H358</f>
        <v>57</v>
      </c>
      <c r="AC108" s="42">
        <f>Data!$H372</f>
        <v>72</v>
      </c>
      <c r="AD108" s="42">
        <f>Data!$H386</f>
        <v>70</v>
      </c>
      <c r="AE108" s="42">
        <f>Data!$H400</f>
        <v>86</v>
      </c>
      <c r="AF108" s="42">
        <f>Data!$H414</f>
        <v>88</v>
      </c>
      <c r="AG108" s="42">
        <f>Data!$H428</f>
        <v>112</v>
      </c>
      <c r="AH108" s="42">
        <f>Data!$H442</f>
        <v>113</v>
      </c>
      <c r="AI108" s="42">
        <f>Data!$H456</f>
        <v>154</v>
      </c>
      <c r="AJ108" s="42">
        <f>Data!$H470</f>
        <v>171</v>
      </c>
      <c r="AK108" s="42">
        <f>Data!$H484</f>
        <v>194</v>
      </c>
      <c r="AL108" s="42">
        <f>Data!$H498</f>
        <v>196</v>
      </c>
      <c r="AM108" s="42">
        <f>Data!$H512</f>
        <v>203</v>
      </c>
      <c r="AN108" s="42">
        <f>Data!$H526</f>
        <v>207</v>
      </c>
      <c r="AO108" s="42">
        <f>Data!$H540</f>
        <v>199</v>
      </c>
      <c r="AP108" s="42">
        <f>Data!$H554</f>
        <v>193</v>
      </c>
      <c r="AQ108" s="42">
        <f>Data!$H568</f>
        <v>186</v>
      </c>
      <c r="AR108" s="42">
        <f>Data!$H582</f>
        <v>178</v>
      </c>
      <c r="AS108" s="42">
        <f>Data!$H596</f>
        <v>176</v>
      </c>
      <c r="AT108" s="42">
        <f>Data!$H610</f>
        <v>152</v>
      </c>
      <c r="AU108" s="42">
        <f>Data!$H624</f>
        <v>131</v>
      </c>
      <c r="AV108" s="42">
        <f>Data!$H638</f>
        <v>123</v>
      </c>
      <c r="AW108" s="42">
        <f>Data!$H652</f>
        <v>119</v>
      </c>
      <c r="AX108" s="42">
        <f>Data!$H666</f>
        <v>106</v>
      </c>
      <c r="AY108" s="42">
        <f>Data!$H680</f>
        <v>99</v>
      </c>
      <c r="AZ108" s="42">
        <f>Data!$H694</f>
        <v>88</v>
      </c>
      <c r="BA108" s="42">
        <f>Data!$H708</f>
        <v>81</v>
      </c>
      <c r="BB108" s="42">
        <f>Data!$H722</f>
        <v>77</v>
      </c>
      <c r="BC108" s="42">
        <f>Data!$H736</f>
        <v>68</v>
      </c>
      <c r="BD108" s="42">
        <f>Data!$H750</f>
        <v>61</v>
      </c>
      <c r="BE108" s="42">
        <f>Data!$H764</f>
        <v>61</v>
      </c>
      <c r="BF108" s="42">
        <f>Data!$H778</f>
        <v>55</v>
      </c>
      <c r="BG108" s="42">
        <f>Data!$H792</f>
        <v>47</v>
      </c>
      <c r="BH108" s="42">
        <f>Data!$H806</f>
        <v>33</v>
      </c>
      <c r="BI108" s="42">
        <f>Data!$H820</f>
        <v>34</v>
      </c>
      <c r="BJ108" s="42">
        <f>Data!$H834</f>
        <v>29</v>
      </c>
      <c r="BK108" s="42">
        <f>Data!$H848</f>
        <v>27</v>
      </c>
      <c r="BL108" s="42">
        <f>Data!$H862</f>
        <v>28</v>
      </c>
    </row>
    <row r="109" spans="2:64" x14ac:dyDescent="0.3">
      <c r="B109" t="str">
        <f t="shared" si="13"/>
        <v>NS</v>
      </c>
      <c r="C109" s="42">
        <f>Data!$H9</f>
        <v>87</v>
      </c>
      <c r="D109" s="42">
        <f>Data!$H23</f>
        <v>119</v>
      </c>
      <c r="E109" s="42">
        <f>Data!$H37</f>
        <v>117</v>
      </c>
      <c r="F109" s="42">
        <f>Data!$H51</f>
        <v>137</v>
      </c>
      <c r="G109" s="42">
        <f>Data!$H65</f>
        <v>163</v>
      </c>
      <c r="H109" s="42">
        <f>Data!$H79</f>
        <v>177</v>
      </c>
      <c r="I109" s="42">
        <f>Data!$H93</f>
        <v>186</v>
      </c>
      <c r="J109" s="42">
        <f>Data!$H107</f>
        <v>186</v>
      </c>
      <c r="K109" s="42">
        <f>Data!$H121</f>
        <v>229</v>
      </c>
      <c r="L109" s="42">
        <f>Data!$H135</f>
        <v>243</v>
      </c>
      <c r="M109" s="42">
        <f>Data!$H149</f>
        <v>264</v>
      </c>
      <c r="N109" s="42">
        <f>Data!$H163</f>
        <v>289</v>
      </c>
      <c r="O109" s="42">
        <f>Data!$H177</f>
        <v>312</v>
      </c>
      <c r="P109" s="42">
        <f>Data!$H191</f>
        <v>331</v>
      </c>
      <c r="Q109" s="42">
        <f>Data!$H205</f>
        <v>370</v>
      </c>
      <c r="R109" s="42">
        <f>Data!$H219</f>
        <v>390</v>
      </c>
      <c r="S109" s="42">
        <f>Data!$H233</f>
        <v>409</v>
      </c>
      <c r="T109" s="42">
        <f>Data!$H247</f>
        <v>400</v>
      </c>
      <c r="U109" s="42">
        <f>Data!$H261</f>
        <v>425</v>
      </c>
      <c r="V109" s="42">
        <f>Data!$H275</f>
        <v>458</v>
      </c>
      <c r="W109" s="42">
        <f>Data!$H289</f>
        <v>464</v>
      </c>
      <c r="X109" s="42">
        <f>Data!$H303</f>
        <v>441</v>
      </c>
      <c r="Y109" s="42">
        <f>Data!$H317</f>
        <v>430</v>
      </c>
      <c r="Z109" s="42">
        <f>Data!$H331</f>
        <v>453</v>
      </c>
      <c r="AA109" s="42">
        <f>Data!$H345</f>
        <v>442</v>
      </c>
      <c r="AB109" s="42">
        <f>Data!$H359</f>
        <v>431</v>
      </c>
      <c r="AC109" s="42">
        <f>Data!$H373</f>
        <v>367</v>
      </c>
      <c r="AD109" s="42">
        <f>Data!$H387</f>
        <v>366</v>
      </c>
      <c r="AE109" s="42">
        <f>Data!$H401</f>
        <v>378</v>
      </c>
      <c r="AF109" s="42">
        <f>Data!$H415</f>
        <v>374</v>
      </c>
      <c r="AG109" s="42">
        <f>Data!$H429</f>
        <v>338</v>
      </c>
      <c r="AH109" s="42">
        <f>Data!$H443</f>
        <v>323</v>
      </c>
      <c r="AI109" s="42">
        <f>Data!$H457</f>
        <v>309</v>
      </c>
      <c r="AJ109" s="42">
        <f>Data!$H471</f>
        <v>298</v>
      </c>
      <c r="AK109" s="42">
        <f>Data!$H485</f>
        <v>296</v>
      </c>
      <c r="AL109" s="42">
        <f>Data!$H499</f>
        <v>255</v>
      </c>
      <c r="AM109" s="42">
        <f>Data!$H513</f>
        <v>240</v>
      </c>
      <c r="AN109" s="42">
        <f>Data!$H527</f>
        <v>221</v>
      </c>
      <c r="AO109" s="42">
        <f>Data!$H541</f>
        <v>204</v>
      </c>
      <c r="AP109" s="42">
        <f>Data!$H555</f>
        <v>108</v>
      </c>
      <c r="AQ109" s="42">
        <f>Data!$H569</f>
        <v>103</v>
      </c>
      <c r="AR109" s="42">
        <f>Data!$H583</f>
        <v>66</v>
      </c>
      <c r="AS109" s="42">
        <f>Data!$H597</f>
        <v>61</v>
      </c>
      <c r="AT109" s="42">
        <f>Data!$H611</f>
        <v>52</v>
      </c>
      <c r="AU109" s="42">
        <f>Data!$H625</f>
        <v>42</v>
      </c>
      <c r="AV109" s="42">
        <f>Data!$H639</f>
        <v>32</v>
      </c>
      <c r="AW109" s="42">
        <f>Data!$H653</f>
        <v>32</v>
      </c>
      <c r="AX109" s="42">
        <f>Data!$H667</f>
        <v>29</v>
      </c>
      <c r="AY109" s="42">
        <f>Data!$H681</f>
        <v>29</v>
      </c>
      <c r="AZ109" s="42">
        <f>Data!$H695</f>
        <v>22</v>
      </c>
      <c r="BA109" s="42">
        <f>Data!$H709</f>
        <v>19</v>
      </c>
      <c r="BB109" s="42">
        <f>Data!$H723</f>
        <v>17</v>
      </c>
      <c r="BC109" s="42">
        <f>Data!$H737</f>
        <v>19</v>
      </c>
      <c r="BD109" s="42">
        <f>Data!$H751</f>
        <v>19</v>
      </c>
      <c r="BE109" s="42">
        <f>Data!$H765</f>
        <v>18</v>
      </c>
      <c r="BF109" s="42">
        <f>Data!$H779</f>
        <v>18</v>
      </c>
      <c r="BG109" s="42">
        <f>Data!$H793</f>
        <v>13</v>
      </c>
      <c r="BH109" s="42">
        <f>Data!$H807</f>
        <v>5</v>
      </c>
      <c r="BI109" s="42">
        <f>Data!$H821</f>
        <v>5</v>
      </c>
      <c r="BJ109" s="42">
        <f>Data!$H835</f>
        <v>2</v>
      </c>
      <c r="BK109" s="42">
        <f>Data!$H849</f>
        <v>1</v>
      </c>
      <c r="BL109" s="42">
        <f>Data!$H863</f>
        <v>3</v>
      </c>
    </row>
    <row r="110" spans="2:64" x14ac:dyDescent="0.3">
      <c r="B110" t="str">
        <f t="shared" si="13"/>
        <v>NB</v>
      </c>
      <c r="C110" s="42">
        <f>Data!$H10</f>
        <v>44</v>
      </c>
      <c r="D110" s="42">
        <f>Data!$H24</f>
        <v>49</v>
      </c>
      <c r="E110" s="42">
        <f>Data!$H38</f>
        <v>66</v>
      </c>
      <c r="F110" s="42">
        <f>Data!$H52</f>
        <v>61</v>
      </c>
      <c r="G110" s="42">
        <f>Data!$H66</f>
        <v>67</v>
      </c>
      <c r="H110" s="42">
        <f>Data!$H80</f>
        <v>69</v>
      </c>
      <c r="I110" s="42">
        <f>Data!$H94</f>
        <v>70</v>
      </c>
      <c r="J110" s="42">
        <f>Data!$H108</f>
        <v>73</v>
      </c>
      <c r="K110" s="42">
        <f>Data!$H122</f>
        <v>73</v>
      </c>
      <c r="L110" s="42">
        <f>Data!$H136</f>
        <v>66</v>
      </c>
      <c r="M110" s="42">
        <f>Data!$H150</f>
        <v>58</v>
      </c>
      <c r="N110" s="42">
        <f>Data!$H164</f>
        <v>58</v>
      </c>
      <c r="O110" s="42">
        <f>Data!$H178</f>
        <v>52</v>
      </c>
      <c r="P110" s="42">
        <f>Data!$H192</f>
        <v>42</v>
      </c>
      <c r="Q110" s="42">
        <f>Data!$H206</f>
        <v>42</v>
      </c>
      <c r="R110" s="42">
        <f>Data!$H220</f>
        <v>41</v>
      </c>
      <c r="S110" s="42">
        <f>Data!$H234</f>
        <v>40</v>
      </c>
      <c r="T110" s="42">
        <f>Data!$H248</f>
        <v>37</v>
      </c>
      <c r="U110" s="42">
        <f>Data!$H262</f>
        <v>34</v>
      </c>
      <c r="V110" s="42">
        <f>Data!$H276</f>
        <v>31</v>
      </c>
      <c r="W110" s="42">
        <f>Data!$H290</f>
        <v>20</v>
      </c>
      <c r="X110" s="42">
        <f>Data!$H304</f>
        <v>16</v>
      </c>
      <c r="Y110" s="42">
        <f>Data!$H318</f>
        <v>14</v>
      </c>
      <c r="Z110" s="42">
        <f>Data!$H332</f>
        <v>14</v>
      </c>
      <c r="AA110" s="42">
        <f>Data!$H346</f>
        <v>11</v>
      </c>
      <c r="AB110" s="42">
        <f>Data!$H360</f>
        <v>11</v>
      </c>
      <c r="AC110" s="42">
        <f>Data!$H374</f>
        <v>6</v>
      </c>
      <c r="AD110" s="42">
        <f>Data!$H388</f>
        <v>6</v>
      </c>
      <c r="AE110" s="42">
        <f>Data!$H402</f>
        <v>4</v>
      </c>
      <c r="AF110" s="42">
        <f>Data!$H416</f>
        <v>4</v>
      </c>
      <c r="AG110" s="42">
        <f>Data!$H430</f>
        <v>2</v>
      </c>
      <c r="AH110" s="42">
        <f>Data!$H444</f>
        <v>0</v>
      </c>
      <c r="AI110" s="42">
        <f>Data!$H458</f>
        <v>0</v>
      </c>
      <c r="AJ110" s="42">
        <f>Data!$H472</f>
        <v>1</v>
      </c>
      <c r="AK110" s="42">
        <f>Data!$H486</f>
        <v>2</v>
      </c>
      <c r="AL110" s="42">
        <f>Data!$H500</f>
        <v>2</v>
      </c>
      <c r="AM110" s="42">
        <f>Data!$H514</f>
        <v>2</v>
      </c>
      <c r="AN110" s="42">
        <f>Data!$H528</f>
        <v>2</v>
      </c>
      <c r="AO110" s="42">
        <f>Data!$H542</f>
        <v>2</v>
      </c>
      <c r="AP110" s="42">
        <f>Data!$H556</f>
        <v>2</v>
      </c>
      <c r="AQ110" s="42">
        <f>Data!$H570</f>
        <v>2</v>
      </c>
      <c r="AR110" s="42">
        <f>Data!$H584</f>
        <v>2</v>
      </c>
      <c r="AS110" s="42">
        <f>Data!$H598</f>
        <v>1</v>
      </c>
      <c r="AT110" s="42">
        <f>Data!$H612</f>
        <v>0</v>
      </c>
      <c r="AU110" s="42">
        <f>Data!$H626</f>
        <v>0</v>
      </c>
      <c r="AV110" s="42">
        <f>Data!$H640</f>
        <v>0</v>
      </c>
      <c r="AW110" s="42">
        <f>Data!$H654</f>
        <v>0</v>
      </c>
      <c r="AX110" s="42">
        <f>Data!$H668</f>
        <v>1</v>
      </c>
      <c r="AY110" s="42">
        <f>Data!$H682</f>
        <v>1</v>
      </c>
      <c r="AZ110" s="42">
        <f>Data!$H696</f>
        <v>1</v>
      </c>
      <c r="BA110" s="42">
        <f>Data!$H710</f>
        <v>1</v>
      </c>
      <c r="BB110" s="42">
        <f>Data!$H724</f>
        <v>2</v>
      </c>
      <c r="BC110" s="42">
        <f>Data!$H738</f>
        <v>3</v>
      </c>
      <c r="BD110" s="42">
        <f>Data!$H752</f>
        <v>6</v>
      </c>
      <c r="BE110" s="42">
        <f>Data!$H766</f>
        <v>8</v>
      </c>
      <c r="BF110" s="42">
        <f>Data!$H780</f>
        <v>9</v>
      </c>
      <c r="BG110" s="42">
        <f>Data!$H794</f>
        <v>12</v>
      </c>
      <c r="BH110" s="42">
        <f>Data!$H808</f>
        <v>13</v>
      </c>
      <c r="BI110" s="42">
        <f>Data!$H822</f>
        <v>15</v>
      </c>
      <c r="BJ110" s="42">
        <f>Data!$H836</f>
        <v>15</v>
      </c>
      <c r="BK110" s="42">
        <f>Data!$H850</f>
        <v>14</v>
      </c>
      <c r="BL110" s="42">
        <f>Data!$H864</f>
        <v>12</v>
      </c>
    </row>
    <row r="111" spans="2:64" x14ac:dyDescent="0.3">
      <c r="B111" t="str">
        <f t="shared" si="13"/>
        <v>PEI</v>
      </c>
      <c r="C111" s="42">
        <f>Data!$H11</f>
        <v>8</v>
      </c>
      <c r="D111" s="42">
        <f>Data!$H25</f>
        <v>10</v>
      </c>
      <c r="E111" s="42">
        <f>Data!$H39</f>
        <v>17</v>
      </c>
      <c r="F111" s="42">
        <f>Data!$H53</f>
        <v>20</v>
      </c>
      <c r="G111" s="42">
        <f>Data!$H67</f>
        <v>11</v>
      </c>
      <c r="H111" s="42">
        <f>Data!$H81</f>
        <v>19</v>
      </c>
      <c r="I111" s="42">
        <f>Data!$H95</f>
        <v>18</v>
      </c>
      <c r="J111" s="42">
        <f>Data!$H109</f>
        <v>16</v>
      </c>
      <c r="K111" s="42">
        <f>Data!$H123</f>
        <v>14</v>
      </c>
      <c r="L111" s="42">
        <f>Data!$H137</f>
        <v>14</v>
      </c>
      <c r="M111" s="42">
        <f>Data!$H151</f>
        <v>7</v>
      </c>
      <c r="N111" s="42">
        <f>Data!$H165</f>
        <v>8</v>
      </c>
      <c r="O111" s="42">
        <f>Data!$H179</f>
        <v>8</v>
      </c>
      <c r="P111" s="42">
        <f>Data!$H193</f>
        <v>8</v>
      </c>
      <c r="Q111" s="42">
        <f>Data!$H207</f>
        <v>2</v>
      </c>
      <c r="R111" s="42">
        <f>Data!$H221</f>
        <v>2</v>
      </c>
      <c r="S111" s="42">
        <f>Data!$H235</f>
        <v>3</v>
      </c>
      <c r="T111" s="42">
        <f>Data!$H249</f>
        <v>3</v>
      </c>
      <c r="U111" s="42">
        <f>Data!$H263</f>
        <v>3</v>
      </c>
      <c r="V111" s="42">
        <f>Data!$H277</f>
        <v>3</v>
      </c>
      <c r="W111" s="42">
        <f>Data!$H291</f>
        <v>3</v>
      </c>
      <c r="X111" s="42">
        <f>Data!$H305</f>
        <v>3</v>
      </c>
      <c r="Y111" s="42">
        <f>Data!$H319</f>
        <v>2</v>
      </c>
      <c r="Z111" s="42">
        <f>Data!$H333</f>
        <v>2</v>
      </c>
      <c r="AA111" s="42">
        <f>Data!$H347</f>
        <v>2</v>
      </c>
      <c r="AB111" s="42">
        <f>Data!$H361</f>
        <v>2</v>
      </c>
      <c r="AC111" s="42">
        <f>Data!$H375</f>
        <v>2</v>
      </c>
      <c r="AD111" s="42">
        <f>Data!$H389</f>
        <v>2</v>
      </c>
      <c r="AE111" s="42">
        <f>Data!$H403</f>
        <v>3</v>
      </c>
      <c r="AF111" s="42">
        <f>Data!$H417</f>
        <v>3</v>
      </c>
      <c r="AG111" s="42">
        <f>Data!$H431</f>
        <v>3</v>
      </c>
      <c r="AH111" s="42">
        <f>Data!$H445</f>
        <v>3</v>
      </c>
      <c r="AI111" s="42">
        <f>Data!$H459</f>
        <v>2</v>
      </c>
      <c r="AJ111" s="42">
        <f>Data!$H473</f>
        <v>2</v>
      </c>
      <c r="AK111" s="42">
        <f>Data!$H487</f>
        <v>1</v>
      </c>
      <c r="AL111" s="42">
        <f>Data!$H501</f>
        <v>1</v>
      </c>
      <c r="AM111" s="42">
        <f>Data!$H515</f>
        <v>0</v>
      </c>
      <c r="AN111" s="42">
        <f>Data!$H529</f>
        <v>0</v>
      </c>
      <c r="AO111" s="42">
        <f>Data!$H543</f>
        <v>0</v>
      </c>
      <c r="AP111" s="42">
        <f>Data!$H557</f>
        <v>0</v>
      </c>
      <c r="AQ111" s="42">
        <f>Data!$H571</f>
        <v>0</v>
      </c>
      <c r="AR111" s="42">
        <f>Data!$H585</f>
        <v>0</v>
      </c>
      <c r="AS111" s="42">
        <f>Data!$H599</f>
        <v>0</v>
      </c>
      <c r="AT111" s="42">
        <f>Data!$H613</f>
        <v>0</v>
      </c>
      <c r="AU111" s="42">
        <f>Data!$H627</f>
        <v>0</v>
      </c>
      <c r="AV111" s="42">
        <f>Data!$H641</f>
        <v>0</v>
      </c>
      <c r="AW111" s="42">
        <f>Data!$H655</f>
        <v>0</v>
      </c>
      <c r="AX111" s="42">
        <f>Data!$H669</f>
        <v>0</v>
      </c>
      <c r="AY111" s="42">
        <f>Data!$H683</f>
        <v>0</v>
      </c>
      <c r="AZ111" s="42">
        <f>Data!$H697</f>
        <v>0</v>
      </c>
      <c r="BA111" s="42">
        <f>Data!$H711</f>
        <v>0</v>
      </c>
      <c r="BB111" s="42">
        <f>Data!$H725</f>
        <v>0</v>
      </c>
      <c r="BC111" s="42">
        <f>Data!$H739</f>
        <v>0</v>
      </c>
      <c r="BD111" s="42">
        <f>Data!$H753</f>
        <v>0</v>
      </c>
      <c r="BE111" s="42">
        <f>Data!$H767</f>
        <v>0</v>
      </c>
      <c r="BF111" s="42">
        <f>Data!$H781</f>
        <v>0</v>
      </c>
      <c r="BG111" s="42">
        <f>Data!$H795</f>
        <v>0</v>
      </c>
      <c r="BH111" s="42">
        <f>Data!$H809</f>
        <v>0</v>
      </c>
      <c r="BI111" s="42">
        <f>Data!$H823</f>
        <v>0</v>
      </c>
      <c r="BJ111" s="42">
        <f>Data!$H837</f>
        <v>0</v>
      </c>
      <c r="BK111" s="42">
        <f>Data!$H851</f>
        <v>0</v>
      </c>
      <c r="BL111" s="42">
        <f>Data!$H865</f>
        <v>0</v>
      </c>
    </row>
    <row r="112" spans="2:64" x14ac:dyDescent="0.3">
      <c r="B112" t="str">
        <f t="shared" si="13"/>
        <v>NFLD</v>
      </c>
      <c r="C112" s="42">
        <f>Data!$H12</f>
        <v>102</v>
      </c>
      <c r="D112" s="42">
        <f>Data!$H26</f>
        <v>116</v>
      </c>
      <c r="E112" s="42">
        <f>Data!$H40</f>
        <v>143</v>
      </c>
      <c r="F112" s="42">
        <f>Data!$H54</f>
        <v>144</v>
      </c>
      <c r="G112" s="42">
        <f>Data!$H68</f>
        <v>167</v>
      </c>
      <c r="H112" s="42">
        <f>Data!$H82</f>
        <v>172</v>
      </c>
      <c r="I112" s="42">
        <f>Data!$H96</f>
        <v>186</v>
      </c>
      <c r="J112" s="42">
        <f>Data!$H110</f>
        <v>184</v>
      </c>
      <c r="K112" s="42">
        <f>Data!$H124</f>
        <v>192</v>
      </c>
      <c r="L112" s="42">
        <f>Data!$H138</f>
        <v>177</v>
      </c>
      <c r="M112" s="42">
        <f>Data!$H152</f>
        <v>156</v>
      </c>
      <c r="N112" s="42">
        <f>Data!$H166</f>
        <v>138</v>
      </c>
      <c r="O112" s="42">
        <f>Data!$H180</f>
        <v>134</v>
      </c>
      <c r="P112" s="42">
        <f>Data!$H194</f>
        <v>119</v>
      </c>
      <c r="Q112" s="42">
        <f>Data!$H208</f>
        <v>119</v>
      </c>
      <c r="R112" s="42">
        <f>Data!$H222</f>
        <v>92</v>
      </c>
      <c r="S112" s="42">
        <f>Data!$H236</f>
        <v>85</v>
      </c>
      <c r="T112" s="42">
        <f>Data!$H250</f>
        <v>79</v>
      </c>
      <c r="U112" s="42">
        <f>Data!$H264</f>
        <v>77</v>
      </c>
      <c r="V112" s="42">
        <f>Data!$H278</f>
        <v>64</v>
      </c>
      <c r="W112" s="42">
        <f>Data!$H292</f>
        <v>62</v>
      </c>
      <c r="X112" s="42">
        <f>Data!$H306</f>
        <v>59</v>
      </c>
      <c r="Y112" s="42">
        <f>Data!$H320</f>
        <v>54</v>
      </c>
      <c r="Z112" s="42">
        <f>Data!$H334</f>
        <v>48</v>
      </c>
      <c r="AA112" s="42">
        <f>Data!$H348</f>
        <v>46</v>
      </c>
      <c r="AB112" s="42">
        <f>Data!$H362</f>
        <v>46</v>
      </c>
      <c r="AC112" s="42">
        <f>Data!$H376</f>
        <v>33</v>
      </c>
      <c r="AD112" s="42">
        <f>Data!$H390</f>
        <v>33</v>
      </c>
      <c r="AE112" s="42">
        <f>Data!$H404</f>
        <v>33</v>
      </c>
      <c r="AF112" s="42">
        <f>Data!$T418</f>
        <v>0</v>
      </c>
      <c r="AG112" s="42">
        <f>Data!$H432</f>
        <v>26</v>
      </c>
      <c r="AH112" s="42">
        <f>Data!$H446</f>
        <v>25</v>
      </c>
      <c r="AI112" s="42">
        <f>Data!$H460</f>
        <v>23</v>
      </c>
      <c r="AJ112" s="42">
        <f>Data!$H474</f>
        <v>15</v>
      </c>
      <c r="AK112" s="42">
        <f>Data!$H488</f>
        <v>12</v>
      </c>
      <c r="AL112" s="42">
        <f>Data!$H502</f>
        <v>14</v>
      </c>
      <c r="AM112" s="42">
        <f>Data!$H516</f>
        <v>14</v>
      </c>
      <c r="AN112" s="42">
        <f>Data!$H530</f>
        <v>14</v>
      </c>
      <c r="AO112" s="42">
        <f>Data!$H544</f>
        <v>14</v>
      </c>
      <c r="AP112" s="42">
        <f>Data!$H558</f>
        <v>14</v>
      </c>
      <c r="AQ112" s="42">
        <f>Data!$H572</f>
        <v>11</v>
      </c>
      <c r="AR112" s="42">
        <f>Data!$H586</f>
        <v>10</v>
      </c>
      <c r="AS112" s="42">
        <f>Data!$H600</f>
        <v>9</v>
      </c>
      <c r="AT112" s="42">
        <f>Data!$H614</f>
        <v>8</v>
      </c>
      <c r="AU112" s="42">
        <f>Data!$H628</f>
        <v>8</v>
      </c>
      <c r="AV112" s="42">
        <f>Data!$H642</f>
        <v>7</v>
      </c>
      <c r="AW112" s="42">
        <f>Data!$H656</f>
        <v>4</v>
      </c>
      <c r="AX112" s="42">
        <f>Data!$H670</f>
        <v>4</v>
      </c>
      <c r="AY112" s="42">
        <f>Data!$H684</f>
        <v>4</v>
      </c>
      <c r="AZ112" s="42">
        <f>Data!$H698</f>
        <v>3</v>
      </c>
      <c r="BA112" s="42">
        <f>Data!$H712</f>
        <v>3</v>
      </c>
      <c r="BB112" s="42">
        <f>Data!$H726</f>
        <v>2</v>
      </c>
      <c r="BC112" s="42">
        <f>Data!$H740</f>
        <v>2</v>
      </c>
      <c r="BD112" s="42">
        <f>Data!$H754</f>
        <v>3</v>
      </c>
      <c r="BE112" s="42">
        <f>Data!$H768</f>
        <v>3</v>
      </c>
      <c r="BF112" s="42">
        <f>Data!$H782</f>
        <v>3</v>
      </c>
      <c r="BG112" s="42">
        <f>Data!$H796</f>
        <v>3</v>
      </c>
      <c r="BH112" s="42">
        <f>Data!$H810</f>
        <v>2</v>
      </c>
      <c r="BI112" s="42">
        <f>Data!$H824</f>
        <v>2</v>
      </c>
      <c r="BJ112" s="42">
        <f>Data!$H838</f>
        <v>2</v>
      </c>
      <c r="BK112" s="42">
        <f>Data!$H852</f>
        <v>2</v>
      </c>
      <c r="BL112" s="42">
        <f>Data!$H866</f>
        <v>2</v>
      </c>
    </row>
    <row r="113" spans="2:64" x14ac:dyDescent="0.3"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</row>
    <row r="114" spans="2:64" x14ac:dyDescent="0.3">
      <c r="B114" t="s">
        <v>51</v>
      </c>
      <c r="C114" s="29">
        <v>43917</v>
      </c>
      <c r="D114" s="29">
        <v>43918</v>
      </c>
      <c r="E114" s="29">
        <v>43920</v>
      </c>
      <c r="F114" s="29" t="s">
        <v>46</v>
      </c>
      <c r="G114" s="29">
        <v>43922</v>
      </c>
      <c r="H114" s="29">
        <v>43923</v>
      </c>
      <c r="I114" s="29">
        <v>43924</v>
      </c>
      <c r="J114" s="29">
        <v>43925</v>
      </c>
      <c r="K114" s="29">
        <v>43927</v>
      </c>
      <c r="L114" s="29">
        <v>43928</v>
      </c>
      <c r="M114" s="29">
        <v>43929</v>
      </c>
      <c r="N114" s="29">
        <v>43930</v>
      </c>
      <c r="O114" s="29">
        <v>43931</v>
      </c>
      <c r="P114" s="29">
        <v>43932</v>
      </c>
      <c r="Q114" s="29">
        <v>43934</v>
      </c>
      <c r="R114" s="29">
        <v>43935</v>
      </c>
      <c r="S114" s="29">
        <v>43936</v>
      </c>
      <c r="T114" s="29">
        <v>43937</v>
      </c>
      <c r="U114" s="29">
        <v>43938</v>
      </c>
      <c r="V114" s="29">
        <v>43939</v>
      </c>
      <c r="W114" s="29">
        <v>43941</v>
      </c>
      <c r="X114" s="29">
        <v>43942</v>
      </c>
      <c r="Y114" s="29">
        <v>43943</v>
      </c>
      <c r="Z114" s="29">
        <v>43944</v>
      </c>
      <c r="AA114" s="29">
        <v>43945</v>
      </c>
      <c r="AB114" s="29">
        <v>43946</v>
      </c>
      <c r="AC114" s="29">
        <v>43948</v>
      </c>
      <c r="AD114" s="29">
        <v>43949</v>
      </c>
      <c r="AE114" s="29">
        <v>43950</v>
      </c>
      <c r="AF114" s="29">
        <v>43951</v>
      </c>
      <c r="AG114" s="29">
        <v>43952</v>
      </c>
      <c r="AH114" s="29">
        <v>43953</v>
      </c>
      <c r="AI114" s="29">
        <v>43955</v>
      </c>
      <c r="AJ114" s="29">
        <v>43956</v>
      </c>
      <c r="AK114" s="29">
        <v>43957</v>
      </c>
      <c r="AL114" s="29">
        <v>43958</v>
      </c>
      <c r="AM114" s="29">
        <v>43959</v>
      </c>
      <c r="AN114" s="29">
        <v>43960</v>
      </c>
      <c r="AO114" s="29">
        <v>43962</v>
      </c>
      <c r="AP114" s="29">
        <v>43963</v>
      </c>
      <c r="AQ114" s="29">
        <v>43964</v>
      </c>
      <c r="AR114" s="29">
        <v>43965</v>
      </c>
      <c r="AS114" s="29">
        <v>43966</v>
      </c>
      <c r="AT114" s="29">
        <v>43967</v>
      </c>
      <c r="AU114" s="29">
        <v>43969</v>
      </c>
      <c r="AV114" s="29">
        <v>43970</v>
      </c>
      <c r="AW114" s="29">
        <v>43971</v>
      </c>
      <c r="AX114" s="29">
        <v>43972</v>
      </c>
      <c r="AY114" s="29">
        <v>43973</v>
      </c>
      <c r="AZ114" s="29">
        <v>43974</v>
      </c>
      <c r="BA114" s="29">
        <v>43976</v>
      </c>
      <c r="BB114" s="29">
        <v>43977</v>
      </c>
      <c r="BC114" s="29">
        <v>43978</v>
      </c>
      <c r="BD114" s="29">
        <v>43979</v>
      </c>
      <c r="BE114" s="29">
        <v>43980</v>
      </c>
      <c r="BF114" s="29">
        <v>43981</v>
      </c>
      <c r="BG114" s="29">
        <v>43983</v>
      </c>
      <c r="BH114" s="29">
        <v>43984</v>
      </c>
      <c r="BI114" s="29">
        <v>43985</v>
      </c>
      <c r="BJ114" s="29">
        <v>43986</v>
      </c>
      <c r="BK114" s="29">
        <v>43987</v>
      </c>
      <c r="BL114" s="29">
        <v>43988</v>
      </c>
    </row>
    <row r="115" spans="2:64" x14ac:dyDescent="0.3">
      <c r="B115" t="str">
        <f>B89</f>
        <v>Ontario</v>
      </c>
      <c r="C115" s="42">
        <f>Data!$F3</f>
        <v>18</v>
      </c>
      <c r="D115" s="42">
        <f>Data!$F17</f>
        <v>21</v>
      </c>
      <c r="E115" s="42">
        <f>Data!$F31</f>
        <v>33</v>
      </c>
      <c r="F115" s="42">
        <f>Data!$F45</f>
        <v>33</v>
      </c>
      <c r="G115" s="42">
        <f>Data!$F59</f>
        <v>37</v>
      </c>
      <c r="H115" s="42">
        <f>Data!$F73</f>
        <v>53</v>
      </c>
      <c r="I115" s="42">
        <f>Data!$F87</f>
        <v>67</v>
      </c>
      <c r="J115" s="42">
        <f>Data!$F101</f>
        <v>94</v>
      </c>
      <c r="K115" s="42">
        <f>Data!$F115</f>
        <v>132</v>
      </c>
      <c r="L115" s="42">
        <f>Data!$F129</f>
        <v>153</v>
      </c>
      <c r="M115" s="42">
        <f>Data!$F143</f>
        <v>174</v>
      </c>
      <c r="N115" s="42">
        <f>Data!$F157</f>
        <v>200</v>
      </c>
      <c r="O115" s="42">
        <f>Data!$F171</f>
        <v>222</v>
      </c>
      <c r="P115" s="42">
        <f>Data!$F185</f>
        <v>253</v>
      </c>
      <c r="Q115" s="42">
        <f>Data!$F199</f>
        <v>291</v>
      </c>
      <c r="R115" s="42">
        <f>Data!$F213</f>
        <v>334</v>
      </c>
      <c r="S115" s="42">
        <f>Data!$F227</f>
        <v>385</v>
      </c>
      <c r="T115" s="42">
        <f>Data!$F241</f>
        <v>423</v>
      </c>
      <c r="U115" s="42">
        <f>Data!$F255</f>
        <v>478</v>
      </c>
      <c r="V115" s="42">
        <f>Data!$F269</f>
        <v>514</v>
      </c>
      <c r="W115" s="42">
        <f>Data!$F283</f>
        <v>584</v>
      </c>
      <c r="X115" s="42">
        <f>Data!$F297</f>
        <v>622</v>
      </c>
      <c r="Y115" s="42">
        <f>Data!$F311</f>
        <v>659</v>
      </c>
      <c r="Z115" s="42">
        <f>Data!$F325</f>
        <v>713</v>
      </c>
      <c r="AA115" s="42">
        <f>Data!$F339</f>
        <v>763</v>
      </c>
      <c r="AB115" s="42">
        <f>Data!$F353</f>
        <v>811</v>
      </c>
      <c r="AC115" s="42">
        <f>Data!$F367</f>
        <v>892</v>
      </c>
      <c r="AD115" s="42">
        <f>Data!$F381</f>
        <v>951</v>
      </c>
      <c r="AE115" s="42">
        <f>Data!$F395</f>
        <v>996</v>
      </c>
      <c r="AF115" s="42">
        <f>Data!$F409</f>
        <v>1082</v>
      </c>
      <c r="AG115" s="42">
        <f>Data!$F423</f>
        <v>1121</v>
      </c>
      <c r="AH115" s="42">
        <f>Data!$F437</f>
        <v>1176</v>
      </c>
      <c r="AI115" s="42">
        <f>Data!$F451</f>
        <v>1300</v>
      </c>
      <c r="AJ115" s="42">
        <f>Data!$F465</f>
        <v>1361</v>
      </c>
      <c r="AK115" s="42">
        <f>Data!$F479</f>
        <v>1429</v>
      </c>
      <c r="AL115" s="42">
        <f>Data!$F493</f>
        <v>1477</v>
      </c>
      <c r="AM115" s="42">
        <f>Data!$F507</f>
        <v>1540</v>
      </c>
      <c r="AN115" s="42">
        <f>Data!$F521</f>
        <v>1599</v>
      </c>
      <c r="AO115" s="42">
        <f>Data!$F535</f>
        <v>1669</v>
      </c>
      <c r="AP115" s="42">
        <f>Data!$F549</f>
        <v>1725</v>
      </c>
      <c r="AQ115" s="42">
        <f>Data!$F563</f>
        <v>1765</v>
      </c>
      <c r="AR115" s="42">
        <f>Data!$F577</f>
        <v>1798</v>
      </c>
      <c r="AS115" s="42">
        <f>Data!$F591</f>
        <v>1825</v>
      </c>
      <c r="AT115" s="42">
        <f>Data!$F605</f>
        <v>1858</v>
      </c>
      <c r="AU115" s="42">
        <f>Data!$F619</f>
        <v>1904</v>
      </c>
      <c r="AV115" s="42">
        <f>Data!$F633</f>
        <v>1919</v>
      </c>
      <c r="AW115" s="42">
        <f>Data!$F647</f>
        <v>1962</v>
      </c>
      <c r="AX115" s="42">
        <f>Data!$F661</f>
        <v>1993</v>
      </c>
      <c r="AY115" s="42">
        <f>Data!$F675</f>
        <v>2021</v>
      </c>
      <c r="AZ115" s="42">
        <f>Data!$F689</f>
        <v>2048</v>
      </c>
      <c r="BA115" s="42">
        <f>Data!$F703</f>
        <v>2102</v>
      </c>
      <c r="BB115" s="42">
        <f>Data!$F717</f>
        <v>2123</v>
      </c>
      <c r="BC115" s="42">
        <f>Data!$F731</f>
        <v>2155</v>
      </c>
      <c r="BD115" s="42">
        <f>Data!$F745</f>
        <v>2189</v>
      </c>
      <c r="BE115" s="42">
        <f>Data!$F759</f>
        <v>2230</v>
      </c>
      <c r="BF115" s="42">
        <f>Data!$F773</f>
        <v>2247</v>
      </c>
      <c r="BG115" s="42">
        <f>Data!$F787</f>
        <v>2276</v>
      </c>
      <c r="BH115" s="42">
        <f>Data!$F801</f>
        <v>2293</v>
      </c>
      <c r="BI115" s="42">
        <f>Data!$F815</f>
        <v>2312</v>
      </c>
      <c r="BJ115" s="42">
        <f>Data!$F829</f>
        <v>2357</v>
      </c>
      <c r="BK115" s="42">
        <f>Data!$F843</f>
        <v>2372</v>
      </c>
      <c r="BL115" s="42">
        <f>Data!$F857</f>
        <v>2407</v>
      </c>
    </row>
    <row r="116" spans="2:64" x14ac:dyDescent="0.3">
      <c r="B116" t="str">
        <f t="shared" ref="B116:B124" si="14">B90</f>
        <v>Quebec</v>
      </c>
      <c r="C116" s="42">
        <f>Data!$F4</f>
        <v>18</v>
      </c>
      <c r="D116" s="42">
        <f>Data!$F18</f>
        <v>22</v>
      </c>
      <c r="E116" s="42">
        <f>Data!$F32</f>
        <v>25</v>
      </c>
      <c r="F116" s="42">
        <f>Data!$F46</f>
        <v>31</v>
      </c>
      <c r="G116" s="42">
        <f>Data!$F60</f>
        <v>33</v>
      </c>
      <c r="H116" s="42">
        <f>Data!$F74</f>
        <v>36</v>
      </c>
      <c r="I116" s="42">
        <f>Data!$F88</f>
        <v>61</v>
      </c>
      <c r="J116" s="42">
        <f>Data!$F102</f>
        <v>75</v>
      </c>
      <c r="K116" s="42">
        <f>Data!$F116</f>
        <v>121</v>
      </c>
      <c r="L116" s="42">
        <f>Data!$F130</f>
        <v>150</v>
      </c>
      <c r="M116" s="42">
        <f>Data!$F144</f>
        <v>175</v>
      </c>
      <c r="N116" s="42">
        <f>Data!$F158</f>
        <v>216</v>
      </c>
      <c r="O116" s="42">
        <f>Data!$F172</f>
        <v>241</v>
      </c>
      <c r="P116" s="42">
        <f>Data!$F186</f>
        <v>289</v>
      </c>
      <c r="Q116" s="42">
        <f>Data!$F200</f>
        <v>360</v>
      </c>
      <c r="R116" s="42">
        <f>Data!$F214</f>
        <v>435</v>
      </c>
      <c r="S116" s="42">
        <f>Data!$F228</f>
        <v>487</v>
      </c>
      <c r="T116" s="42">
        <f>Data!$F242</f>
        <v>630</v>
      </c>
      <c r="U116" s="42">
        <f>Data!$F256</f>
        <v>688</v>
      </c>
      <c r="V116" s="42">
        <f>Data!$F270</f>
        <v>805</v>
      </c>
      <c r="W116" s="42">
        <f>Data!$F284</f>
        <v>939</v>
      </c>
      <c r="X116" s="42">
        <f>Data!$F298</f>
        <v>1041</v>
      </c>
      <c r="Y116" s="42">
        <f>Data!$F312</f>
        <v>1134</v>
      </c>
      <c r="Z116" s="42">
        <f>Data!$F326</f>
        <v>1243</v>
      </c>
      <c r="AA116" s="42">
        <f>Data!$F340</f>
        <v>1340</v>
      </c>
      <c r="AB116" s="42">
        <f>Data!$F354</f>
        <v>1446</v>
      </c>
      <c r="AC116" s="42">
        <f>Data!$F368</f>
        <v>1599</v>
      </c>
      <c r="AD116" s="42">
        <f>Data!$F382</f>
        <v>1682</v>
      </c>
      <c r="AE116" s="42">
        <f>Data!$F396</f>
        <v>1761</v>
      </c>
      <c r="AF116" s="42">
        <f>Data!$F410</f>
        <v>1859</v>
      </c>
      <c r="AG116" s="42">
        <f>Data!$F424</f>
        <v>2022</v>
      </c>
      <c r="AH116" s="42">
        <f>Data!$F438</f>
        <v>2136</v>
      </c>
      <c r="AI116" s="42">
        <f>Data!$F452</f>
        <v>2280</v>
      </c>
      <c r="AJ116" s="42">
        <f>Data!$F466</f>
        <v>2398</v>
      </c>
      <c r="AK116" s="42">
        <f>Data!$F480</f>
        <v>2510</v>
      </c>
      <c r="AL116" s="42">
        <f>Data!$F494</f>
        <v>2631</v>
      </c>
      <c r="AM116" s="42">
        <f>Data!$F508</f>
        <v>2725</v>
      </c>
      <c r="AN116" s="42">
        <f>Data!$F522</f>
        <v>2786</v>
      </c>
      <c r="AO116" s="42">
        <f>Data!$F536</f>
        <v>3013</v>
      </c>
      <c r="AP116" s="42">
        <f>Data!$F550</f>
        <v>3131</v>
      </c>
      <c r="AQ116" s="42">
        <f>Data!$F564</f>
        <v>3220</v>
      </c>
      <c r="AR116" s="42">
        <f>Data!$F578</f>
        <v>3351</v>
      </c>
      <c r="AS116" s="42">
        <f>Data!$F592</f>
        <v>3401</v>
      </c>
      <c r="AT116" s="42">
        <f>Data!$F606</f>
        <v>3483</v>
      </c>
      <c r="AU116" s="42">
        <f>Data!$F620</f>
        <v>3596</v>
      </c>
      <c r="AV116" s="42">
        <f>Data!$F634</f>
        <v>3647</v>
      </c>
      <c r="AW116" s="42">
        <f>Data!$F648</f>
        <v>3718</v>
      </c>
      <c r="AX116" s="42">
        <f>Data!$F662</f>
        <v>3800</v>
      </c>
      <c r="AY116" s="42">
        <f>Data!$F676</f>
        <v>3865</v>
      </c>
      <c r="AZ116" s="42">
        <f>Data!$F690</f>
        <v>3940</v>
      </c>
      <c r="BA116" s="42">
        <f>Data!$F704</f>
        <v>4069</v>
      </c>
      <c r="BB116" s="42">
        <f>Data!$F718</f>
        <v>4139</v>
      </c>
      <c r="BC116" s="42">
        <f>Data!$F732</f>
        <v>4228</v>
      </c>
      <c r="BD116" s="42">
        <f>Data!$F746</f>
        <v>4302</v>
      </c>
      <c r="BE116" s="42">
        <f>Data!$F760</f>
        <v>4363</v>
      </c>
      <c r="BF116" s="42">
        <f>Data!$F774</f>
        <v>4439</v>
      </c>
      <c r="BG116" s="42">
        <f>Data!$F788</f>
        <v>4661</v>
      </c>
      <c r="BH116" s="42">
        <f>Data!$F802</f>
        <v>4713</v>
      </c>
      <c r="BI116" s="42">
        <f>Data!$F816</f>
        <v>4794</v>
      </c>
      <c r="BJ116" s="42">
        <f>Data!$F830</f>
        <v>4885</v>
      </c>
      <c r="BK116" s="42">
        <f>Data!$F844</f>
        <v>4935</v>
      </c>
      <c r="BL116" s="42">
        <f>Data!$F858</f>
        <v>4970</v>
      </c>
    </row>
    <row r="117" spans="2:64" x14ac:dyDescent="0.3">
      <c r="B117" t="str">
        <f t="shared" si="14"/>
        <v>BC</v>
      </c>
      <c r="C117" s="42">
        <f>Data!$F5</f>
        <v>16</v>
      </c>
      <c r="D117" s="42">
        <f>Data!$F19</f>
        <v>17</v>
      </c>
      <c r="E117" s="42">
        <f>Data!$F33</f>
        <v>19</v>
      </c>
      <c r="F117" s="42">
        <f>Data!$F47</f>
        <v>24</v>
      </c>
      <c r="G117" s="42">
        <f>Data!$F61</f>
        <v>25</v>
      </c>
      <c r="H117" s="42">
        <f>Data!$F75</f>
        <v>31</v>
      </c>
      <c r="I117" s="42">
        <f>Data!$F89</f>
        <v>35</v>
      </c>
      <c r="J117" s="42">
        <f>Data!$F103</f>
        <v>38</v>
      </c>
      <c r="K117" s="42">
        <f>Data!$F117</f>
        <v>39</v>
      </c>
      <c r="L117" s="42">
        <f>Data!$F131</f>
        <v>43</v>
      </c>
      <c r="M117" s="42">
        <f>Data!$F145</f>
        <v>48</v>
      </c>
      <c r="N117" s="42">
        <f>Data!$F159</f>
        <v>50</v>
      </c>
      <c r="O117" s="42">
        <f>Data!$F173</f>
        <v>55</v>
      </c>
      <c r="P117" s="42">
        <f>Data!$F187</f>
        <v>58</v>
      </c>
      <c r="Q117" s="42">
        <f>Data!$F201</f>
        <v>69</v>
      </c>
      <c r="R117" s="42">
        <f>Data!$F215</f>
        <v>72</v>
      </c>
      <c r="S117" s="42">
        <f>Data!$F229</f>
        <v>75</v>
      </c>
      <c r="T117" s="42">
        <f>Data!$F243</f>
        <v>78</v>
      </c>
      <c r="U117" s="42">
        <f>Data!$F257</f>
        <v>78</v>
      </c>
      <c r="V117" s="42">
        <f>Data!$F271</f>
        <v>81</v>
      </c>
      <c r="W117" s="42">
        <f>Data!$F285</f>
        <v>86</v>
      </c>
      <c r="X117" s="42">
        <f>Data!$F299</f>
        <v>87</v>
      </c>
      <c r="Y117" s="42">
        <f>Data!$F313</f>
        <v>90</v>
      </c>
      <c r="Z117" s="42">
        <f>Data!$F327</f>
        <v>94</v>
      </c>
      <c r="AA117" s="42">
        <f>Data!$F341</f>
        <v>98</v>
      </c>
      <c r="AB117" s="42">
        <f>Data!$F355</f>
        <v>100</v>
      </c>
      <c r="AC117" s="42">
        <f>Data!$F369</f>
        <v>103</v>
      </c>
      <c r="AD117" s="42">
        <f>Data!$F383</f>
        <v>105</v>
      </c>
      <c r="AE117" s="42">
        <f>Data!$F397</f>
        <v>109</v>
      </c>
      <c r="AF117" s="42">
        <f>Data!$F411</f>
        <v>111</v>
      </c>
      <c r="AG117" s="42">
        <f>Data!$F425</f>
        <v>111</v>
      </c>
      <c r="AH117" s="42">
        <f>Data!$F439</f>
        <v>112</v>
      </c>
      <c r="AI117" s="42">
        <f>Data!$F453</f>
        <v>117</v>
      </c>
      <c r="AJ117" s="42">
        <f>Data!$F467</f>
        <v>121</v>
      </c>
      <c r="AK117" s="42">
        <f>Data!$F481</f>
        <v>124</v>
      </c>
      <c r="AL117" s="42">
        <f>Data!$F495</f>
        <v>126</v>
      </c>
      <c r="AM117" s="42">
        <f>Data!$F509</f>
        <v>127</v>
      </c>
      <c r="AN117" s="42">
        <f>Data!$F523</f>
        <v>129</v>
      </c>
      <c r="AO117" s="42">
        <f>Data!$F537</f>
        <v>130</v>
      </c>
      <c r="AP117" s="42">
        <f>Data!$F551</f>
        <v>131</v>
      </c>
      <c r="AQ117" s="42">
        <f>Data!$F565</f>
        <v>132</v>
      </c>
      <c r="AR117" s="42">
        <f>Data!$F579</f>
        <v>135</v>
      </c>
      <c r="AS117" s="42">
        <f>Data!$F593</f>
        <v>140</v>
      </c>
      <c r="AT117" s="42">
        <f>Data!$F607</f>
        <v>141</v>
      </c>
      <c r="AU117" s="42">
        <f>Data!$F621</f>
        <v>143</v>
      </c>
      <c r="AV117" s="42">
        <f>Data!$F635</f>
        <v>146</v>
      </c>
      <c r="AW117" s="42">
        <f>Data!$F649</f>
        <v>149</v>
      </c>
      <c r="AX117" s="42">
        <f>Data!$F663</f>
        <v>152</v>
      </c>
      <c r="AY117" s="42">
        <f>Data!$F677</f>
        <v>155</v>
      </c>
      <c r="AZ117" s="42">
        <f>Data!$F691</f>
        <v>157</v>
      </c>
      <c r="BA117" s="42">
        <f>Data!$F705</f>
        <v>161</v>
      </c>
      <c r="BB117" s="42">
        <f>Data!$F719</f>
        <v>161</v>
      </c>
      <c r="BC117" s="42">
        <f>Data!$F733</f>
        <v>162</v>
      </c>
      <c r="BD117" s="42">
        <f>Data!$F747</f>
        <v>164</v>
      </c>
      <c r="BE117" s="42">
        <f>Data!$F761</f>
        <v>164</v>
      </c>
      <c r="BF117" s="42">
        <f>Data!$F775</f>
        <v>164</v>
      </c>
      <c r="BG117" s="42">
        <f>Data!$F789</f>
        <v>165</v>
      </c>
      <c r="BH117" s="42">
        <f>Data!$F803</f>
        <v>165</v>
      </c>
      <c r="BI117" s="42">
        <f>Data!$F817</f>
        <v>166</v>
      </c>
      <c r="BJ117" s="42">
        <f>Data!$F831</f>
        <v>166</v>
      </c>
      <c r="BK117" s="42">
        <f>Data!$F845</f>
        <v>167</v>
      </c>
      <c r="BL117" s="42">
        <f>Data!$F859</f>
        <v>167</v>
      </c>
    </row>
    <row r="118" spans="2:64" x14ac:dyDescent="0.3">
      <c r="B118" t="str">
        <f t="shared" si="14"/>
        <v>Alberta</v>
      </c>
      <c r="C118" s="42">
        <f>Data!$F6</f>
        <v>2</v>
      </c>
      <c r="D118" s="42">
        <f>Data!$F20</f>
        <v>2</v>
      </c>
      <c r="E118" s="42">
        <f>Data!$F34</f>
        <v>8</v>
      </c>
      <c r="F118" s="42">
        <f>Data!$F48</f>
        <v>9</v>
      </c>
      <c r="G118" s="42">
        <f>Data!$F62</f>
        <v>11</v>
      </c>
      <c r="H118" s="42">
        <f>Data!$F76</f>
        <v>13</v>
      </c>
      <c r="I118" s="42">
        <f>Data!$F90</f>
        <v>13</v>
      </c>
      <c r="J118" s="42">
        <f>Data!$F104</f>
        <v>20</v>
      </c>
      <c r="K118" s="42">
        <f>Data!$F118</f>
        <v>23</v>
      </c>
      <c r="L118" s="42">
        <f>Data!$F132</f>
        <v>26</v>
      </c>
      <c r="M118" s="42">
        <f>Data!$F146</f>
        <v>29</v>
      </c>
      <c r="N118" s="42">
        <f>Data!$F160</f>
        <v>32</v>
      </c>
      <c r="O118" s="42">
        <f>Data!$F174</f>
        <v>39</v>
      </c>
      <c r="P118" s="42">
        <f>Data!$F188</f>
        <v>39</v>
      </c>
      <c r="Q118" s="42">
        <f>Data!$F202</f>
        <v>46</v>
      </c>
      <c r="R118" s="42">
        <f>Data!$F216</f>
        <v>48</v>
      </c>
      <c r="S118" s="42">
        <f>Data!$F230</f>
        <v>48</v>
      </c>
      <c r="T118" s="42">
        <f>Data!$F244</f>
        <v>50</v>
      </c>
      <c r="U118" s="42">
        <f>Data!$F258</f>
        <v>50</v>
      </c>
      <c r="V118" s="42">
        <f>Data!$F272</f>
        <v>51</v>
      </c>
      <c r="W118" s="42">
        <f>Data!$F286</f>
        <v>59</v>
      </c>
      <c r="X118" s="42">
        <f>Data!$F300</f>
        <v>61</v>
      </c>
      <c r="Y118" s="42">
        <f>Data!$F314</f>
        <v>66</v>
      </c>
      <c r="Z118" s="42">
        <f>Data!$F328</f>
        <v>67</v>
      </c>
      <c r="AA118" s="42">
        <f>Data!$F342</f>
        <v>72</v>
      </c>
      <c r="AB118" s="42">
        <f>Data!$F356</f>
        <v>73</v>
      </c>
      <c r="AC118" s="42">
        <f>Data!$F370</f>
        <v>75</v>
      </c>
      <c r="AD118" s="42">
        <f>Data!$F384</f>
        <v>80</v>
      </c>
      <c r="AE118" s="42">
        <f>Data!$F398</f>
        <v>87</v>
      </c>
      <c r="AF118" s="42">
        <f>Data!$F412</f>
        <v>89</v>
      </c>
      <c r="AG118" s="42">
        <f>Data!$F426</f>
        <v>92</v>
      </c>
      <c r="AH118" s="42">
        <f>Data!$F440</f>
        <v>94</v>
      </c>
      <c r="AI118" s="42">
        <f>Data!$F454</f>
        <v>104</v>
      </c>
      <c r="AJ118" s="42">
        <f>Data!$F468</f>
        <v>106</v>
      </c>
      <c r="AK118" s="42">
        <f>Data!$F482</f>
        <v>112</v>
      </c>
      <c r="AL118" s="42">
        <f>Data!$F496</f>
        <v>114</v>
      </c>
      <c r="AM118" s="42">
        <f>Data!$F510</f>
        <v>115</v>
      </c>
      <c r="AN118" s="42">
        <f>Data!$F524</f>
        <v>116</v>
      </c>
      <c r="AO118" s="42">
        <f>Data!$F538</f>
        <v>117</v>
      </c>
      <c r="AP118" s="42">
        <f>Data!$F552</f>
        <v>118</v>
      </c>
      <c r="AQ118" s="42">
        <f>Data!$F566</f>
        <v>120</v>
      </c>
      <c r="AR118" s="42">
        <f>Data!$F580</f>
        <v>121</v>
      </c>
      <c r="AS118" s="42">
        <f>Data!$F594</f>
        <v>125</v>
      </c>
      <c r="AT118" s="42">
        <f>Data!$F608</f>
        <v>126</v>
      </c>
      <c r="AU118" s="42">
        <f>Data!$F622</f>
        <v>128</v>
      </c>
      <c r="AV118" s="42">
        <f>Data!$F636</f>
        <v>128</v>
      </c>
      <c r="AW118" s="42">
        <f>Data!$F650</f>
        <v>128</v>
      </c>
      <c r="AX118" s="42">
        <f>Data!$F664</f>
        <v>132</v>
      </c>
      <c r="AY118" s="42">
        <f>Data!$F678</f>
        <v>134</v>
      </c>
      <c r="AZ118" s="42">
        <f>Data!$F692</f>
        <v>135</v>
      </c>
      <c r="BA118" s="42">
        <f>Data!$F706</f>
        <v>138</v>
      </c>
      <c r="BB118" s="42">
        <f>Data!$F720</f>
        <v>139</v>
      </c>
      <c r="BC118" s="42">
        <f>Data!$F734</f>
        <v>141</v>
      </c>
      <c r="BD118" s="42">
        <f>Data!$F748</f>
        <v>143</v>
      </c>
      <c r="BE118" s="42">
        <f>Data!$F762</f>
        <v>143</v>
      </c>
      <c r="BF118" s="42">
        <f>Data!$F776</f>
        <v>143</v>
      </c>
      <c r="BG118" s="42">
        <f>Data!$F790</f>
        <v>143</v>
      </c>
      <c r="BH118" s="42">
        <f>Data!$F804</f>
        <v>143</v>
      </c>
      <c r="BI118" s="42">
        <f>Data!$F818</f>
        <v>145</v>
      </c>
      <c r="BJ118" s="42">
        <f>Data!$F832</f>
        <v>146</v>
      </c>
      <c r="BK118" s="42">
        <f>Data!$F846</f>
        <v>146</v>
      </c>
      <c r="BL118" s="42">
        <f>Data!$F860</f>
        <v>146</v>
      </c>
    </row>
    <row r="119" spans="2:64" x14ac:dyDescent="0.3">
      <c r="B119" t="str">
        <f t="shared" si="14"/>
        <v>Manitoba</v>
      </c>
      <c r="C119" s="42">
        <f>Data!$F7</f>
        <v>1</v>
      </c>
      <c r="D119" s="42">
        <f>Data!$F21</f>
        <v>1</v>
      </c>
      <c r="E119" s="42">
        <f>Data!$F35</f>
        <v>1</v>
      </c>
      <c r="F119" s="42">
        <f>Data!$F49</f>
        <v>1</v>
      </c>
      <c r="G119" s="42">
        <f>Data!$F63</f>
        <v>1</v>
      </c>
      <c r="H119" s="42">
        <f>Data!$F77</f>
        <v>1</v>
      </c>
      <c r="I119" s="42">
        <f>Data!$F91</f>
        <v>2</v>
      </c>
      <c r="J119" s="42">
        <f>Data!$F105</f>
        <v>2</v>
      </c>
      <c r="K119" s="42">
        <f>Data!$F119</f>
        <v>2</v>
      </c>
      <c r="L119" s="42">
        <f>Data!$F133</f>
        <v>3</v>
      </c>
      <c r="M119" s="42">
        <f>Data!$F147</f>
        <v>3</v>
      </c>
      <c r="N119" s="42">
        <f>Data!$F161</f>
        <v>3</v>
      </c>
      <c r="O119" s="42">
        <f>Data!$F175</f>
        <v>4</v>
      </c>
      <c r="P119" s="42">
        <f>Data!$F189</f>
        <v>4</v>
      </c>
      <c r="Q119" s="42">
        <f>Data!$F203</f>
        <v>4</v>
      </c>
      <c r="R119" s="42">
        <f>Data!$F217</f>
        <v>4</v>
      </c>
      <c r="S119" s="42">
        <f>Data!$F231</f>
        <v>5</v>
      </c>
      <c r="T119" s="42">
        <f>Data!$F245</f>
        <v>5</v>
      </c>
      <c r="U119" s="42">
        <f>Data!$F259</f>
        <v>5</v>
      </c>
      <c r="V119" s="42">
        <f>Data!$F273</f>
        <v>5</v>
      </c>
      <c r="W119" s="42">
        <f>Data!$F287</f>
        <v>6</v>
      </c>
      <c r="X119" s="42">
        <f>Data!$F301</f>
        <v>6</v>
      </c>
      <c r="Y119" s="42">
        <f>Data!$F315</f>
        <v>6</v>
      </c>
      <c r="Z119" s="42">
        <f>Data!$F329</f>
        <v>6</v>
      </c>
      <c r="AA119" s="42">
        <f>Data!$F343</f>
        <v>6</v>
      </c>
      <c r="AB119" s="42">
        <f>Data!$F357</f>
        <v>6</v>
      </c>
      <c r="AC119" s="42">
        <f>Data!$F371</f>
        <v>6</v>
      </c>
      <c r="AD119" s="42">
        <f>Data!$F385</f>
        <v>6</v>
      </c>
      <c r="AE119" s="42">
        <f>Data!$F399</f>
        <v>6</v>
      </c>
      <c r="AF119" s="42">
        <f>Data!$F413</f>
        <v>6</v>
      </c>
      <c r="AG119" s="42">
        <f>Data!$F427</f>
        <v>6</v>
      </c>
      <c r="AH119" s="42">
        <f>Data!$F441</f>
        <v>6</v>
      </c>
      <c r="AI119" s="42">
        <f>Data!$F455</f>
        <v>6</v>
      </c>
      <c r="AJ119" s="42">
        <f>Data!$F469</f>
        <v>7</v>
      </c>
      <c r="AK119" s="42">
        <f>Data!$F483</f>
        <v>7</v>
      </c>
      <c r="AL119" s="42">
        <f>Data!$F497</f>
        <v>7</v>
      </c>
      <c r="AM119" s="42">
        <f>Data!$F511</f>
        <v>7</v>
      </c>
      <c r="AN119" s="42">
        <f>Data!$F525</f>
        <v>7</v>
      </c>
      <c r="AO119" s="42">
        <f>Data!$F539</f>
        <v>7</v>
      </c>
      <c r="AP119" s="42">
        <f>Data!$F553</f>
        <v>7</v>
      </c>
      <c r="AQ119" s="42">
        <f>Data!$F567</f>
        <v>7</v>
      </c>
      <c r="AR119" s="42">
        <f>Data!$F581</f>
        <v>7</v>
      </c>
      <c r="AS119" s="42">
        <f>Data!$F595</f>
        <v>7</v>
      </c>
      <c r="AT119" s="42">
        <f>Data!$F609</f>
        <v>7</v>
      </c>
      <c r="AU119" s="42">
        <f>Data!$F623</f>
        <v>7</v>
      </c>
      <c r="AV119" s="42">
        <f>Data!$F637</f>
        <v>7</v>
      </c>
      <c r="AW119" s="42">
        <f>Data!$F651</f>
        <v>7</v>
      </c>
      <c r="AX119" s="42">
        <f>Data!$F665</f>
        <v>7</v>
      </c>
      <c r="AY119" s="42">
        <f>Data!$F679</f>
        <v>7</v>
      </c>
      <c r="AZ119" s="42">
        <f>Data!$F693</f>
        <v>7</v>
      </c>
      <c r="BA119" s="42">
        <f>Data!$F707</f>
        <v>7</v>
      </c>
      <c r="BB119" s="42">
        <f>Data!$F721</f>
        <v>7</v>
      </c>
      <c r="BC119" s="42">
        <f>Data!$F735</f>
        <v>7</v>
      </c>
      <c r="BD119" s="42">
        <f>Data!$F749</f>
        <v>7</v>
      </c>
      <c r="BE119" s="42">
        <f>Data!$F763</f>
        <v>7</v>
      </c>
      <c r="BF119" s="42">
        <f>Data!$F777</f>
        <v>7</v>
      </c>
      <c r="BG119" s="42">
        <f>Data!$F791</f>
        <v>7</v>
      </c>
      <c r="BH119" s="42">
        <f>Data!$F805</f>
        <v>7</v>
      </c>
      <c r="BI119" s="42">
        <f>Data!$F819</f>
        <v>7</v>
      </c>
      <c r="BJ119" s="42">
        <f>Data!$F833</f>
        <v>7</v>
      </c>
      <c r="BK119" s="42">
        <f>Data!$F847</f>
        <v>7</v>
      </c>
      <c r="BL119" s="42">
        <f>Data!$F861</f>
        <v>7</v>
      </c>
    </row>
    <row r="120" spans="2:64" x14ac:dyDescent="0.3">
      <c r="B120" t="str">
        <f t="shared" si="14"/>
        <v>Sask</v>
      </c>
      <c r="C120" s="42">
        <f>Data!$F8</f>
        <v>0</v>
      </c>
      <c r="D120" s="42">
        <f>Data!$F22</f>
        <v>0</v>
      </c>
      <c r="E120" s="42">
        <f>Data!$F36</f>
        <v>2</v>
      </c>
      <c r="F120" s="42">
        <f>Data!$F50</f>
        <v>2</v>
      </c>
      <c r="G120" s="42">
        <f>Data!$F64</f>
        <v>3</v>
      </c>
      <c r="H120" s="42">
        <f>Data!$F78</f>
        <v>3</v>
      </c>
      <c r="I120" s="42">
        <f>Data!$F92</f>
        <v>3</v>
      </c>
      <c r="J120" s="42">
        <f>Data!$F106</f>
        <v>3</v>
      </c>
      <c r="K120" s="42">
        <f>Data!$F120</f>
        <v>3</v>
      </c>
      <c r="L120" s="42">
        <f>Data!$F134</f>
        <v>3</v>
      </c>
      <c r="M120" s="42">
        <f>Data!$F148</f>
        <v>3</v>
      </c>
      <c r="N120" s="42">
        <f>Data!$F162</f>
        <v>3</v>
      </c>
      <c r="O120" s="42">
        <f>Data!$F176</f>
        <v>3</v>
      </c>
      <c r="P120" s="42">
        <f>Data!$F190</f>
        <v>4</v>
      </c>
      <c r="Q120" s="42">
        <f>Data!$F204</f>
        <v>4</v>
      </c>
      <c r="R120" s="42">
        <f>Data!$F218</f>
        <v>4</v>
      </c>
      <c r="S120" s="42">
        <f>Data!$F232</f>
        <v>4</v>
      </c>
      <c r="T120" s="42">
        <f>Data!$F246</f>
        <v>4</v>
      </c>
      <c r="U120" s="42">
        <f>Data!$F260</f>
        <v>4</v>
      </c>
      <c r="V120" s="42">
        <f>Data!$F274</f>
        <v>4</v>
      </c>
      <c r="W120" s="42">
        <f>Data!$F288</f>
        <v>4</v>
      </c>
      <c r="X120" s="42">
        <f>Data!$F302</f>
        <v>4</v>
      </c>
      <c r="Y120" s="42">
        <f>Data!$F316</f>
        <v>4</v>
      </c>
      <c r="Z120" s="42">
        <f>Data!$F330</f>
        <v>4</v>
      </c>
      <c r="AA120" s="42">
        <f>Data!$F344</f>
        <v>4</v>
      </c>
      <c r="AB120" s="42">
        <f>Data!$F358</f>
        <v>4</v>
      </c>
      <c r="AC120" s="42">
        <f>Data!$F372</f>
        <v>5</v>
      </c>
      <c r="AD120" s="42">
        <f>Data!$F386</f>
        <v>5</v>
      </c>
      <c r="AE120" s="42">
        <f>Data!$F400</f>
        <v>6</v>
      </c>
      <c r="AF120" s="42">
        <f>Data!$F414</f>
        <v>6</v>
      </c>
      <c r="AG120" s="42">
        <f>Data!$F428</f>
        <v>6</v>
      </c>
      <c r="AH120" s="42">
        <f>Data!$F442</f>
        <v>6</v>
      </c>
      <c r="AI120" s="42">
        <f>Data!$F456</f>
        <v>6</v>
      </c>
      <c r="AJ120" s="42">
        <f>Data!$F470</f>
        <v>6</v>
      </c>
      <c r="AK120" s="42">
        <f>Data!$F484</f>
        <v>6</v>
      </c>
      <c r="AL120" s="42">
        <f>Data!$F498</f>
        <v>6</v>
      </c>
      <c r="AM120" s="42">
        <f>Data!$F512</f>
        <v>6</v>
      </c>
      <c r="AN120" s="42">
        <f>Data!$F526</f>
        <v>6</v>
      </c>
      <c r="AO120" s="42">
        <f>Data!$F540</f>
        <v>6</v>
      </c>
      <c r="AP120" s="42">
        <f>Data!$F554</f>
        <v>6</v>
      </c>
      <c r="AQ120" s="42">
        <f>Data!$F568</f>
        <v>6</v>
      </c>
      <c r="AR120" s="42">
        <f>Data!$F582</f>
        <v>6</v>
      </c>
      <c r="AS120" s="42">
        <f>Data!$F596</f>
        <v>6</v>
      </c>
      <c r="AT120" s="42">
        <f>Data!$F610</f>
        <v>6</v>
      </c>
      <c r="AU120" s="42">
        <f>Data!$F624</f>
        <v>6</v>
      </c>
      <c r="AV120" s="42">
        <f>Data!$F638</f>
        <v>6</v>
      </c>
      <c r="AW120" s="42">
        <f>Data!$F652</f>
        <v>7</v>
      </c>
      <c r="AX120" s="42">
        <f>Data!$F666</f>
        <v>7</v>
      </c>
      <c r="AY120" s="42">
        <f>Data!$F680</f>
        <v>7</v>
      </c>
      <c r="AZ120" s="42">
        <f>Data!$F694</f>
        <v>7</v>
      </c>
      <c r="BA120" s="42">
        <f>Data!$F708</f>
        <v>7</v>
      </c>
      <c r="BB120" s="42">
        <f>Data!$F722</f>
        <v>8</v>
      </c>
      <c r="BC120" s="42">
        <f>Data!$F736</f>
        <v>10</v>
      </c>
      <c r="BD120" s="42">
        <f>Data!$F750</f>
        <v>10</v>
      </c>
      <c r="BE120" s="42">
        <f>Data!$F764</f>
        <v>10</v>
      </c>
      <c r="BF120" s="42">
        <f>Data!$F778</f>
        <v>10</v>
      </c>
      <c r="BG120" s="42">
        <f>Data!$F792</f>
        <v>11</v>
      </c>
      <c r="BH120" s="42">
        <f>Data!$F806</f>
        <v>11</v>
      </c>
      <c r="BI120" s="42">
        <f>Data!$F820</f>
        <v>11</v>
      </c>
      <c r="BJ120" s="42">
        <f>Data!$F834</f>
        <v>11</v>
      </c>
      <c r="BK120" s="42">
        <f>Data!$F848</f>
        <v>11</v>
      </c>
      <c r="BL120" s="42">
        <f>Data!$F862</f>
        <v>11</v>
      </c>
    </row>
    <row r="121" spans="2:64" x14ac:dyDescent="0.3">
      <c r="B121" t="str">
        <f t="shared" si="14"/>
        <v>NS</v>
      </c>
      <c r="C121" s="42">
        <f>Data!$F9</f>
        <v>0</v>
      </c>
      <c r="D121" s="42">
        <f>Data!$F23</f>
        <v>0</v>
      </c>
      <c r="E121" s="42">
        <f>Data!$F37</f>
        <v>0</v>
      </c>
      <c r="F121" s="42">
        <f>Data!$F51</f>
        <v>0</v>
      </c>
      <c r="G121" s="42">
        <f>Data!$F65</f>
        <v>0</v>
      </c>
      <c r="H121" s="42">
        <f>Data!$F79</f>
        <v>0</v>
      </c>
      <c r="I121" s="42">
        <f>Data!$F93</f>
        <v>0</v>
      </c>
      <c r="J121" s="42">
        <f>Data!$F107</f>
        <v>0</v>
      </c>
      <c r="K121" s="42">
        <f>Data!$F121</f>
        <v>0</v>
      </c>
      <c r="L121" s="42">
        <f>Data!$F135</f>
        <v>1</v>
      </c>
      <c r="M121" s="42">
        <f>Data!$F149</f>
        <v>1</v>
      </c>
      <c r="N121" s="42">
        <f>Data!$F163</f>
        <v>2</v>
      </c>
      <c r="O121" s="42">
        <f>Data!$F177</f>
        <v>2</v>
      </c>
      <c r="P121" s="42">
        <f>Data!$F191</f>
        <v>2</v>
      </c>
      <c r="Q121" s="42">
        <f>Data!$F205</f>
        <v>3</v>
      </c>
      <c r="R121" s="42">
        <f>Data!$F219</f>
        <v>3</v>
      </c>
      <c r="S121" s="42">
        <f>Data!$F233</f>
        <v>3</v>
      </c>
      <c r="T121" s="42">
        <f>Data!$F247</f>
        <v>3</v>
      </c>
      <c r="U121" s="42">
        <f>Data!$F261</f>
        <v>4</v>
      </c>
      <c r="V121" s="42">
        <f>Data!$F275</f>
        <v>7</v>
      </c>
      <c r="W121" s="42">
        <f>Data!$F289</f>
        <v>9</v>
      </c>
      <c r="X121" s="42">
        <f>Data!$F303</f>
        <v>10</v>
      </c>
      <c r="Y121" s="42">
        <f>Data!$F317</f>
        <v>12</v>
      </c>
      <c r="Z121" s="42">
        <f>Data!$F331</f>
        <v>16</v>
      </c>
      <c r="AA121" s="42">
        <f>Data!$F345</f>
        <v>16</v>
      </c>
      <c r="AB121" s="42">
        <f>Data!$F359</f>
        <v>22</v>
      </c>
      <c r="AC121" s="42">
        <f>Data!$F373</f>
        <v>24</v>
      </c>
      <c r="AD121" s="42">
        <f>Data!$F387</f>
        <v>27</v>
      </c>
      <c r="AE121" s="42">
        <f>Data!$F401</f>
        <v>28</v>
      </c>
      <c r="AF121" s="42">
        <f>Data!$F415</f>
        <v>28</v>
      </c>
      <c r="AG121" s="42">
        <f>Data!$F429</f>
        <v>29</v>
      </c>
      <c r="AH121" s="42">
        <f>Data!$F443</f>
        <v>31</v>
      </c>
      <c r="AI121" s="42">
        <f>Data!$F457</f>
        <v>38</v>
      </c>
      <c r="AJ121" s="42">
        <f>Data!$F471</f>
        <v>41</v>
      </c>
      <c r="AK121" s="42">
        <f>Data!$F485</f>
        <v>41</v>
      </c>
      <c r="AL121" s="42">
        <f>Data!$F499</f>
        <v>44</v>
      </c>
      <c r="AM121" s="42">
        <f>Data!$F513</f>
        <v>46</v>
      </c>
      <c r="AN121" s="42">
        <f>Data!$F527</f>
        <v>47</v>
      </c>
      <c r="AO121" s="42">
        <f>Data!$F541</f>
        <v>48</v>
      </c>
      <c r="AP121" s="42">
        <f>Data!$F555</f>
        <v>48</v>
      </c>
      <c r="AQ121" s="42">
        <f>Data!$F569</f>
        <v>51</v>
      </c>
      <c r="AR121" s="42">
        <f>Data!$F583</f>
        <v>51</v>
      </c>
      <c r="AS121" s="42">
        <f>Data!$F597</f>
        <v>55</v>
      </c>
      <c r="AT121" s="42">
        <f>Data!$F611</f>
        <v>55</v>
      </c>
      <c r="AU121" s="42">
        <f>Data!$F625</f>
        <v>55</v>
      </c>
      <c r="AV121" s="42">
        <f>Data!$F639</f>
        <v>56</v>
      </c>
      <c r="AW121" s="42">
        <f>Data!$F653</f>
        <v>57</v>
      </c>
      <c r="AX121" s="42">
        <f>Data!$F667</f>
        <v>58</v>
      </c>
      <c r="AY121" s="42">
        <f>Data!$F681</f>
        <v>58</v>
      </c>
      <c r="AZ121" s="42">
        <f>Data!$F695</f>
        <v>58</v>
      </c>
      <c r="BA121" s="42">
        <f>Data!$F709</f>
        <v>58</v>
      </c>
      <c r="BB121" s="42">
        <f>Data!$F723</f>
        <v>59</v>
      </c>
      <c r="BC121" s="42">
        <f>Data!$F737</f>
        <v>59</v>
      </c>
      <c r="BD121" s="42">
        <f>Data!$F751</f>
        <v>59</v>
      </c>
      <c r="BE121" s="42">
        <f>Data!$F765</f>
        <v>59</v>
      </c>
      <c r="BF121" s="42">
        <f>Data!$F779</f>
        <v>60</v>
      </c>
      <c r="BG121" s="42">
        <f>Data!$F793</f>
        <v>60</v>
      </c>
      <c r="BH121" s="42">
        <f>Data!$F807</f>
        <v>60</v>
      </c>
      <c r="BI121" s="42">
        <f>Data!$F821</f>
        <v>60</v>
      </c>
      <c r="BJ121" s="42">
        <f>Data!$F835</f>
        <v>61</v>
      </c>
      <c r="BK121" s="42">
        <f>Data!$F849</f>
        <v>61</v>
      </c>
      <c r="BL121" s="42">
        <f>Data!$F863</f>
        <v>61</v>
      </c>
    </row>
    <row r="122" spans="2:64" x14ac:dyDescent="0.3">
      <c r="B122" t="str">
        <f t="shared" si="14"/>
        <v>NB</v>
      </c>
      <c r="C122" s="42">
        <f>Data!$F10</f>
        <v>0</v>
      </c>
      <c r="D122" s="42">
        <f>Data!$F24</f>
        <v>0</v>
      </c>
      <c r="E122" s="42">
        <f>Data!$F38</f>
        <v>0</v>
      </c>
      <c r="F122" s="42">
        <f>Data!$F52</f>
        <v>0</v>
      </c>
      <c r="G122" s="42">
        <f>Data!$F66</f>
        <v>0</v>
      </c>
      <c r="H122" s="42">
        <f>Data!$F80</f>
        <v>0</v>
      </c>
      <c r="I122" s="42">
        <f>Data!$F94</f>
        <v>0</v>
      </c>
      <c r="J122" s="42">
        <f>Data!$F108</f>
        <v>0</v>
      </c>
      <c r="K122" s="42">
        <f>Data!$F122</f>
        <v>0</v>
      </c>
      <c r="L122" s="42">
        <f>Data!$F136</f>
        <v>0</v>
      </c>
      <c r="M122" s="42">
        <f>Data!$F150</f>
        <v>0</v>
      </c>
      <c r="N122" s="42">
        <f>Data!$F164</f>
        <v>0</v>
      </c>
      <c r="O122" s="42">
        <f>Data!$F178</f>
        <v>0</v>
      </c>
      <c r="P122" s="42">
        <f>Data!$F192</f>
        <v>0</v>
      </c>
      <c r="Q122" s="42">
        <f>Data!$F206</f>
        <v>0</v>
      </c>
      <c r="R122" s="42">
        <f>Data!$F220</f>
        <v>0</v>
      </c>
      <c r="S122" s="42">
        <f>Data!$F234</f>
        <v>0</v>
      </c>
      <c r="T122" s="42">
        <f>Data!$F248</f>
        <v>0</v>
      </c>
      <c r="U122" s="42">
        <f>Data!$F262</f>
        <v>0</v>
      </c>
      <c r="V122" s="42">
        <f>Data!$F276</f>
        <v>0</v>
      </c>
      <c r="W122" s="42">
        <f>Data!$F290</f>
        <v>0</v>
      </c>
      <c r="X122" s="42">
        <f>Data!$F304</f>
        <v>0</v>
      </c>
      <c r="Y122" s="42">
        <f>Data!$F318</f>
        <v>0</v>
      </c>
      <c r="Z122" s="42">
        <f>Data!$F332</f>
        <v>0</v>
      </c>
      <c r="AA122" s="42">
        <f>Data!$F346</f>
        <v>0</v>
      </c>
      <c r="AB122" s="42">
        <f>Data!$F360</f>
        <v>0</v>
      </c>
      <c r="AC122" s="42">
        <f>Data!$F374</f>
        <v>0</v>
      </c>
      <c r="AD122" s="42">
        <f>Data!$F388</f>
        <v>0</v>
      </c>
      <c r="AE122" s="42">
        <f>Data!$F402</f>
        <v>0</v>
      </c>
      <c r="AF122" s="42">
        <f>Data!$F416</f>
        <v>0</v>
      </c>
      <c r="AG122" s="42">
        <f>Data!$F430</f>
        <v>0</v>
      </c>
      <c r="AH122" s="42">
        <f>Data!$F444</f>
        <v>0</v>
      </c>
      <c r="AI122" s="42">
        <f>Data!$F458</f>
        <v>0</v>
      </c>
      <c r="AJ122" s="42">
        <f>Data!$F472</f>
        <v>0</v>
      </c>
      <c r="AK122" s="42">
        <f>Data!$F486</f>
        <v>0</v>
      </c>
      <c r="AL122" s="42">
        <f>Data!$F500</f>
        <v>0</v>
      </c>
      <c r="AM122" s="42">
        <f>Data!$F514</f>
        <v>0</v>
      </c>
      <c r="AN122" s="42">
        <f>Data!$F528</f>
        <v>0</v>
      </c>
      <c r="AO122" s="42">
        <f>Data!$F542</f>
        <v>0</v>
      </c>
      <c r="AP122" s="42">
        <f>Data!$F556</f>
        <v>0</v>
      </c>
      <c r="AQ122" s="42">
        <f>Data!$F570</f>
        <v>0</v>
      </c>
      <c r="AR122" s="42">
        <f>Data!$F584</f>
        <v>0</v>
      </c>
      <c r="AS122" s="42">
        <f>Data!$F598</f>
        <v>0</v>
      </c>
      <c r="AT122" s="42">
        <f>Data!$F612</f>
        <v>0</v>
      </c>
      <c r="AU122" s="42">
        <f>Data!$F626</f>
        <v>0</v>
      </c>
      <c r="AV122" s="42">
        <f>Data!$F640</f>
        <v>0</v>
      </c>
      <c r="AW122" s="42">
        <f>Data!$F654</f>
        <v>0</v>
      </c>
      <c r="AX122" s="42">
        <f>Data!$F668</f>
        <v>0</v>
      </c>
      <c r="AY122" s="42">
        <f>Data!$F682</f>
        <v>0</v>
      </c>
      <c r="AZ122" s="42">
        <f>Data!$F696</f>
        <v>0</v>
      </c>
      <c r="BA122" s="42">
        <f>Data!$F710</f>
        <v>0</v>
      </c>
      <c r="BB122" s="42">
        <f>Data!$F724</f>
        <v>0</v>
      </c>
      <c r="BC122" s="42">
        <f>Data!$F738</f>
        <v>0</v>
      </c>
      <c r="BD122" s="42">
        <f>Data!$F752</f>
        <v>0</v>
      </c>
      <c r="BE122" s="42">
        <f>Data!$F766</f>
        <v>0</v>
      </c>
      <c r="BF122" s="42">
        <f>Data!$F780</f>
        <v>0</v>
      </c>
      <c r="BG122" s="42">
        <f>Data!$F794</f>
        <v>0</v>
      </c>
      <c r="BH122" s="42">
        <f>Data!$F808</f>
        <v>0</v>
      </c>
      <c r="BI122" s="42">
        <f>Data!$F822</f>
        <v>0</v>
      </c>
      <c r="BJ122" s="42">
        <f>Data!$F836</f>
        <v>1</v>
      </c>
      <c r="BK122" s="42">
        <f>Data!$F850</f>
        <v>1</v>
      </c>
      <c r="BL122" s="42">
        <f>Data!$F864</f>
        <v>1</v>
      </c>
    </row>
    <row r="123" spans="2:64" x14ac:dyDescent="0.3">
      <c r="B123" t="str">
        <f t="shared" si="14"/>
        <v>PEI</v>
      </c>
      <c r="C123" s="42">
        <f>Data!$F11</f>
        <v>0</v>
      </c>
      <c r="D123" s="42">
        <f>Data!$F25</f>
        <v>0</v>
      </c>
      <c r="E123" s="42">
        <f>Data!$F39</f>
        <v>0</v>
      </c>
      <c r="F123" s="42">
        <f>Data!$F53</f>
        <v>0</v>
      </c>
      <c r="G123" s="42">
        <f>Data!$F67</f>
        <v>0</v>
      </c>
      <c r="H123" s="42">
        <f>Data!$F81</f>
        <v>0</v>
      </c>
      <c r="I123" s="42">
        <f>Data!$F95</f>
        <v>0</v>
      </c>
      <c r="J123" s="42">
        <f>Data!$F109</f>
        <v>0</v>
      </c>
      <c r="K123" s="42">
        <f>Data!$F123</f>
        <v>0</v>
      </c>
      <c r="L123" s="42">
        <f>Data!$F137</f>
        <v>0</v>
      </c>
      <c r="M123" s="42">
        <f>Data!$F151</f>
        <v>0</v>
      </c>
      <c r="N123" s="42">
        <f>Data!$F165</f>
        <v>0</v>
      </c>
      <c r="O123" s="42">
        <f>Data!$F179</f>
        <v>0</v>
      </c>
      <c r="P123" s="42">
        <f>Data!$F193</f>
        <v>0</v>
      </c>
      <c r="Q123" s="42">
        <f>Data!$F207</f>
        <v>0</v>
      </c>
      <c r="R123" s="42">
        <f>Data!$F221</f>
        <v>0</v>
      </c>
      <c r="S123" s="42">
        <f>Data!$F235</f>
        <v>0</v>
      </c>
      <c r="T123" s="42">
        <f>Data!$F249</f>
        <v>0</v>
      </c>
      <c r="U123" s="42">
        <f>Data!$F263</f>
        <v>0</v>
      </c>
      <c r="V123" s="42">
        <f>Data!$F277</f>
        <v>0</v>
      </c>
      <c r="W123" s="42">
        <f>Data!$F291</f>
        <v>0</v>
      </c>
      <c r="X123" s="42">
        <f>Data!$F305</f>
        <v>0</v>
      </c>
      <c r="Y123" s="42">
        <f>Data!$F319</f>
        <v>0</v>
      </c>
      <c r="Z123" s="42">
        <f>Data!$F333</f>
        <v>0</v>
      </c>
      <c r="AA123" s="42">
        <f>Data!$F347</f>
        <v>0</v>
      </c>
      <c r="AB123" s="42">
        <f>Data!$F361</f>
        <v>0</v>
      </c>
      <c r="AC123" s="42">
        <f>Data!$F375</f>
        <v>0</v>
      </c>
      <c r="AD123" s="42">
        <f>Data!$F389</f>
        <v>0</v>
      </c>
      <c r="AE123" s="42">
        <f>Data!$F403</f>
        <v>0</v>
      </c>
      <c r="AF123" s="42">
        <f>Data!$F417</f>
        <v>0</v>
      </c>
      <c r="AG123" s="42">
        <f>Data!$F431</f>
        <v>0</v>
      </c>
      <c r="AH123" s="42">
        <f>Data!$F445</f>
        <v>0</v>
      </c>
      <c r="AI123" s="42">
        <f>Data!$F459</f>
        <v>0</v>
      </c>
      <c r="AJ123" s="42">
        <f>Data!$F473</f>
        <v>0</v>
      </c>
      <c r="AK123" s="42">
        <f>Data!$F487</f>
        <v>0</v>
      </c>
      <c r="AL123" s="42">
        <f>Data!$F501</f>
        <v>0</v>
      </c>
      <c r="AM123" s="42">
        <f>Data!$F515</f>
        <v>0</v>
      </c>
      <c r="AN123" s="42">
        <f>Data!$F529</f>
        <v>0</v>
      </c>
      <c r="AO123" s="42">
        <f>Data!$F543</f>
        <v>0</v>
      </c>
      <c r="AP123" s="42">
        <f>Data!$F557</f>
        <v>0</v>
      </c>
      <c r="AQ123" s="42">
        <f>Data!$F571</f>
        <v>0</v>
      </c>
      <c r="AR123" s="42">
        <f>Data!$F585</f>
        <v>0</v>
      </c>
      <c r="AS123" s="42">
        <f>Data!$F599</f>
        <v>0</v>
      </c>
      <c r="AT123" s="42">
        <f>Data!$F613</f>
        <v>0</v>
      </c>
      <c r="AU123" s="42">
        <f>Data!$F627</f>
        <v>0</v>
      </c>
      <c r="AV123" s="42">
        <f>Data!$F641</f>
        <v>0</v>
      </c>
      <c r="AW123" s="42">
        <f>Data!$F655</f>
        <v>0</v>
      </c>
      <c r="AX123" s="42">
        <f>Data!$F669</f>
        <v>0</v>
      </c>
      <c r="AY123" s="42">
        <f>Data!$F683</f>
        <v>0</v>
      </c>
      <c r="AZ123" s="42">
        <f>Data!$F697</f>
        <v>0</v>
      </c>
      <c r="BA123" s="42">
        <f>Data!$F711</f>
        <v>0</v>
      </c>
      <c r="BB123" s="42">
        <f>Data!$F725</f>
        <v>0</v>
      </c>
      <c r="BC123" s="42">
        <f>Data!$F739</f>
        <v>0</v>
      </c>
      <c r="BD123" s="42">
        <f>Data!$F753</f>
        <v>0</v>
      </c>
      <c r="BE123" s="42">
        <f>Data!$F767</f>
        <v>0</v>
      </c>
      <c r="BF123" s="42">
        <f>Data!$F781</f>
        <v>0</v>
      </c>
      <c r="BG123" s="42">
        <f>Data!$F795</f>
        <v>0</v>
      </c>
      <c r="BH123" s="42">
        <f>Data!$F809</f>
        <v>0</v>
      </c>
      <c r="BI123" s="42">
        <f>Data!$F823</f>
        <v>0</v>
      </c>
      <c r="BJ123" s="42">
        <f>Data!$F837</f>
        <v>0</v>
      </c>
      <c r="BK123" s="42">
        <f>Data!$F851</f>
        <v>0</v>
      </c>
      <c r="BL123" s="42">
        <f>Data!$F865</f>
        <v>0</v>
      </c>
    </row>
    <row r="124" spans="2:64" x14ac:dyDescent="0.3">
      <c r="B124" t="str">
        <f t="shared" si="14"/>
        <v>NFLD</v>
      </c>
      <c r="C124" s="42">
        <f>Data!$F12</f>
        <v>0</v>
      </c>
      <c r="D124" s="42">
        <f>Data!$F26</f>
        <v>0</v>
      </c>
      <c r="E124" s="42">
        <f>Data!$F40</f>
        <v>1</v>
      </c>
      <c r="F124" s="42">
        <f>Data!$F54</f>
        <v>1</v>
      </c>
      <c r="G124" s="42">
        <f>Data!$F68</f>
        <v>1</v>
      </c>
      <c r="H124" s="42">
        <f>Data!$F82</f>
        <v>1</v>
      </c>
      <c r="I124" s="42">
        <f>Data!$F96</f>
        <v>1</v>
      </c>
      <c r="J124" s="42">
        <f>Data!$F110</f>
        <v>1</v>
      </c>
      <c r="K124" s="42">
        <f>Data!$F124</f>
        <v>2</v>
      </c>
      <c r="L124" s="42">
        <f>Data!$F138</f>
        <v>2</v>
      </c>
      <c r="M124" s="42">
        <f>Data!$F152</f>
        <v>2</v>
      </c>
      <c r="N124" s="42">
        <f>Data!$F166</f>
        <v>2</v>
      </c>
      <c r="O124" s="42">
        <f>Data!$F180</f>
        <v>2</v>
      </c>
      <c r="P124" s="42">
        <f>Data!$F194</f>
        <v>2</v>
      </c>
      <c r="Q124" s="42">
        <f>Data!$F208</f>
        <v>2</v>
      </c>
      <c r="R124" s="42">
        <f>Data!$F222</f>
        <v>3</v>
      </c>
      <c r="S124" s="42">
        <f>Data!$F236</f>
        <v>3</v>
      </c>
      <c r="T124" s="42">
        <f>Data!$F250</f>
        <v>3</v>
      </c>
      <c r="U124" s="42">
        <f>Data!$F264</f>
        <v>3</v>
      </c>
      <c r="V124" s="42">
        <f>Data!$F278</f>
        <v>3</v>
      </c>
      <c r="W124" s="42">
        <f>Data!$F292</f>
        <v>3</v>
      </c>
      <c r="X124" s="42">
        <f>Data!$F306</f>
        <v>3</v>
      </c>
      <c r="Y124" s="42">
        <f>Data!$F320</f>
        <v>3</v>
      </c>
      <c r="Z124" s="42">
        <f>Data!$F334</f>
        <v>3</v>
      </c>
      <c r="AA124" s="42">
        <f>Data!$F348</f>
        <v>3</v>
      </c>
      <c r="AB124" s="42">
        <f>Data!$F362</f>
        <v>3</v>
      </c>
      <c r="AC124" s="42">
        <f>Data!$F376</f>
        <v>3</v>
      </c>
      <c r="AD124" s="42">
        <f>Data!$F390</f>
        <v>3</v>
      </c>
      <c r="AE124" s="42">
        <f>Data!$F404</f>
        <v>3</v>
      </c>
      <c r="AF124" s="42">
        <f>Data!$F418</f>
        <v>3</v>
      </c>
      <c r="AG124" s="42">
        <f>Data!$F432</f>
        <v>3</v>
      </c>
      <c r="AH124" s="42">
        <f>Data!$F446</f>
        <v>3</v>
      </c>
      <c r="AI124" s="42">
        <f>Data!$F460</f>
        <v>3</v>
      </c>
      <c r="AJ124" s="42">
        <f>Data!$F474</f>
        <v>3</v>
      </c>
      <c r="AK124" s="42">
        <f>Data!$F488</f>
        <v>3</v>
      </c>
      <c r="AL124" s="42">
        <f>Data!$F502</f>
        <v>3</v>
      </c>
      <c r="AM124" s="42">
        <f>Data!$F516</f>
        <v>3</v>
      </c>
      <c r="AN124" s="42">
        <f>Data!$F530</f>
        <v>3</v>
      </c>
      <c r="AO124" s="42">
        <f>Data!$F544</f>
        <v>3</v>
      </c>
      <c r="AP124" s="42">
        <f>Data!$F558</f>
        <v>3</v>
      </c>
      <c r="AQ124" s="42">
        <f>Data!$F572</f>
        <v>3</v>
      </c>
      <c r="AR124" s="42">
        <f>Data!$F586</f>
        <v>3</v>
      </c>
      <c r="AS124" s="42">
        <f>Data!$F600</f>
        <v>3</v>
      </c>
      <c r="AT124" s="42">
        <f>Data!$F614</f>
        <v>3</v>
      </c>
      <c r="AU124" s="42">
        <f>Data!$F628</f>
        <v>3</v>
      </c>
      <c r="AV124" s="42">
        <f>Data!$F642</f>
        <v>3</v>
      </c>
      <c r="AW124" s="42">
        <f>Data!$F656</f>
        <v>3</v>
      </c>
      <c r="AX124" s="42">
        <f>Data!$F670</f>
        <v>3</v>
      </c>
      <c r="AY124" s="42">
        <f>Data!$F684</f>
        <v>3</v>
      </c>
      <c r="AZ124" s="42">
        <f>Data!$F698</f>
        <v>3</v>
      </c>
      <c r="BA124" s="42">
        <f>Data!$F712</f>
        <v>3</v>
      </c>
      <c r="BB124" s="42">
        <f>Data!$F726</f>
        <v>3</v>
      </c>
      <c r="BC124" s="42">
        <f>Data!$F740</f>
        <v>3</v>
      </c>
      <c r="BD124" s="42">
        <f>Data!$F754</f>
        <v>3</v>
      </c>
      <c r="BE124" s="42">
        <f>Data!$F768</f>
        <v>3</v>
      </c>
      <c r="BF124" s="42">
        <f>Data!$F782</f>
        <v>3</v>
      </c>
      <c r="BG124" s="42">
        <f>Data!$F796</f>
        <v>3</v>
      </c>
      <c r="BH124" s="42">
        <f>Data!$F810</f>
        <v>3</v>
      </c>
      <c r="BI124" s="42">
        <f>Data!$F824</f>
        <v>3</v>
      </c>
      <c r="BJ124" s="42">
        <f>Data!$F838</f>
        <v>3</v>
      </c>
      <c r="BK124" s="42">
        <f>Data!$F852</f>
        <v>3</v>
      </c>
      <c r="BL124" s="42">
        <f>Data!$F866</f>
        <v>3</v>
      </c>
    </row>
    <row r="125" spans="2:64" x14ac:dyDescent="0.3"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</row>
    <row r="126" spans="2:64" x14ac:dyDescent="0.3">
      <c r="B126" t="s">
        <v>10</v>
      </c>
      <c r="C126" t="s">
        <v>15</v>
      </c>
      <c r="D126" t="s">
        <v>42</v>
      </c>
      <c r="E126" t="s">
        <v>14</v>
      </c>
      <c r="F126" t="s">
        <v>41</v>
      </c>
      <c r="G126" t="s">
        <v>53</v>
      </c>
      <c r="H126" t="s">
        <v>2</v>
      </c>
      <c r="I126" t="s">
        <v>15</v>
      </c>
      <c r="J126" t="s">
        <v>42</v>
      </c>
      <c r="K126" t="s">
        <v>14</v>
      </c>
      <c r="L126" t="s">
        <v>41</v>
      </c>
      <c r="M126">
        <v>0</v>
      </c>
    </row>
    <row r="127" spans="2:64" x14ac:dyDescent="0.3">
      <c r="B127" s="29">
        <v>43917</v>
      </c>
      <c r="C127">
        <f>Data!E13</f>
        <v>353</v>
      </c>
      <c r="D127">
        <f>Data!F13</f>
        <v>55</v>
      </c>
      <c r="E127">
        <f>Data!G13</f>
        <v>175476</v>
      </c>
      <c r="F127">
        <f>Data!H13</f>
        <v>4329</v>
      </c>
      <c r="G127">
        <v>0</v>
      </c>
      <c r="H127" s="29">
        <v>43917</v>
      </c>
      <c r="I127">
        <f>Data!E5</f>
        <v>275</v>
      </c>
      <c r="J127">
        <f>Data!F5</f>
        <v>16</v>
      </c>
      <c r="K127">
        <f>Data!G5</f>
        <v>34561</v>
      </c>
      <c r="L127">
        <f>Data!H5</f>
        <v>501</v>
      </c>
      <c r="M127">
        <v>0</v>
      </c>
    </row>
    <row r="128" spans="2:64" x14ac:dyDescent="0.3">
      <c r="B128" s="29">
        <v>43918</v>
      </c>
      <c r="C128">
        <f>Data!E27</f>
        <v>508</v>
      </c>
      <c r="D128">
        <f>Data!F27</f>
        <v>63</v>
      </c>
      <c r="E128">
        <f>Data!G27</f>
        <v>201890</v>
      </c>
      <c r="F128">
        <f>Data!H27</f>
        <v>5307</v>
      </c>
      <c r="G128">
        <f>C128+D128+F128-C127-D127-F127</f>
        <v>1141</v>
      </c>
      <c r="H128" s="29">
        <v>43918</v>
      </c>
      <c r="I128">
        <f>Data!E19</f>
        <v>396</v>
      </c>
      <c r="J128">
        <f>Data!F19</f>
        <v>17</v>
      </c>
      <c r="K128">
        <f>Data!G19</f>
        <v>36643</v>
      </c>
      <c r="L128">
        <f>Data!H19</f>
        <v>471</v>
      </c>
      <c r="M128">
        <f t="shared" ref="M128:M192" si="15">I128+J128+L128-I127-J127-L127</f>
        <v>92</v>
      </c>
    </row>
    <row r="129" spans="2:13" x14ac:dyDescent="0.3">
      <c r="B129" s="29">
        <v>43919</v>
      </c>
      <c r="C129">
        <f>(C128+C130)/2</f>
        <v>786.5</v>
      </c>
      <c r="D129">
        <f>(D128+D130)/2</f>
        <v>76</v>
      </c>
      <c r="E129">
        <f>(E128+E130)/2</f>
        <v>216500.5</v>
      </c>
      <c r="F129">
        <f>(F128+F130)/2</f>
        <v>5800.5</v>
      </c>
      <c r="G129">
        <f t="shared" ref="G129:G186" si="16">C129+D129+F129-C128-D128-F128</f>
        <v>785</v>
      </c>
      <c r="H129" s="29">
        <v>43919</v>
      </c>
      <c r="I129">
        <f>(I128+I130)/2</f>
        <v>432.5</v>
      </c>
      <c r="J129">
        <f>(J128+J130)/2</f>
        <v>18</v>
      </c>
      <c r="K129">
        <f>(K128+K130)/2</f>
        <v>39335.5</v>
      </c>
      <c r="L129">
        <f>(L128+L130)/2</f>
        <v>476.5</v>
      </c>
      <c r="M129">
        <f t="shared" si="15"/>
        <v>43</v>
      </c>
    </row>
    <row r="130" spans="2:13" x14ac:dyDescent="0.3">
      <c r="B130" s="29">
        <v>43920</v>
      </c>
      <c r="C130">
        <f>Data!E41</f>
        <v>1065</v>
      </c>
      <c r="D130">
        <f>Data!F41</f>
        <v>89</v>
      </c>
      <c r="E130">
        <f>Data!G41</f>
        <v>231111</v>
      </c>
      <c r="F130">
        <f>Data!H41</f>
        <v>6294</v>
      </c>
      <c r="G130">
        <f t="shared" si="16"/>
        <v>785</v>
      </c>
      <c r="H130" s="29">
        <v>43920</v>
      </c>
      <c r="I130">
        <f>Data!E33</f>
        <v>469</v>
      </c>
      <c r="J130">
        <f>Data!F33</f>
        <v>19</v>
      </c>
      <c r="K130">
        <f>Data!G33</f>
        <v>42028</v>
      </c>
      <c r="L130">
        <f>Data!H33</f>
        <v>482</v>
      </c>
      <c r="M130">
        <f t="shared" si="15"/>
        <v>43</v>
      </c>
    </row>
    <row r="131" spans="2:13" x14ac:dyDescent="0.3">
      <c r="B131" s="29">
        <v>43921</v>
      </c>
      <c r="C131">
        <f>Data!E55</f>
        <v>1242</v>
      </c>
      <c r="D131">
        <f>Data!F55</f>
        <v>101</v>
      </c>
      <c r="E131">
        <f>Data!G55</f>
        <v>246858</v>
      </c>
      <c r="F131">
        <f>Data!H55</f>
        <v>7248</v>
      </c>
      <c r="G131">
        <f t="shared" si="16"/>
        <v>1143</v>
      </c>
      <c r="H131" s="29">
        <v>43921</v>
      </c>
      <c r="I131">
        <f>Data!E47</f>
        <v>507</v>
      </c>
      <c r="J131">
        <f>Data!F47</f>
        <v>24</v>
      </c>
      <c r="K131">
        <f>Data!G47</f>
        <v>42028</v>
      </c>
      <c r="L131">
        <f>Data!H47</f>
        <v>482</v>
      </c>
      <c r="M131">
        <f t="shared" si="15"/>
        <v>43</v>
      </c>
    </row>
    <row r="132" spans="2:13" x14ac:dyDescent="0.3">
      <c r="B132" s="29">
        <v>43922</v>
      </c>
      <c r="C132">
        <f>Data!E69</f>
        <v>1541</v>
      </c>
      <c r="D132">
        <f>Data!F69</f>
        <v>111</v>
      </c>
      <c r="E132">
        <f>Data!G69</f>
        <v>264486</v>
      </c>
      <c r="F132">
        <f>Data!H69</f>
        <v>8080</v>
      </c>
      <c r="G132">
        <f t="shared" si="16"/>
        <v>1141</v>
      </c>
      <c r="H132" s="29">
        <v>43922</v>
      </c>
      <c r="I132">
        <f>Data!E61</f>
        <v>606</v>
      </c>
      <c r="J132">
        <f>Data!F61</f>
        <v>25</v>
      </c>
      <c r="K132">
        <f>Data!G61</f>
        <v>43229</v>
      </c>
      <c r="L132">
        <f>Data!H61</f>
        <v>435</v>
      </c>
      <c r="M132">
        <f t="shared" si="15"/>
        <v>53</v>
      </c>
    </row>
    <row r="133" spans="2:13" x14ac:dyDescent="0.3">
      <c r="B133" s="29">
        <v>43923</v>
      </c>
      <c r="C133">
        <f>Data!E83</f>
        <v>1776</v>
      </c>
      <c r="D133">
        <f>Data!F83</f>
        <v>138</v>
      </c>
      <c r="E133">
        <f>Data!G83</f>
        <v>282649</v>
      </c>
      <c r="F133">
        <f>Data!H83</f>
        <v>9369</v>
      </c>
      <c r="G133">
        <f t="shared" si="16"/>
        <v>1551</v>
      </c>
      <c r="H133" s="29">
        <v>43923</v>
      </c>
      <c r="I133">
        <f>Data!E75</f>
        <v>641</v>
      </c>
      <c r="J133">
        <f>Data!F75</f>
        <v>31</v>
      </c>
      <c r="K133">
        <f>Data!G75</f>
        <v>44639</v>
      </c>
      <c r="L133">
        <f>Data!H75</f>
        <v>449</v>
      </c>
      <c r="M133">
        <f t="shared" si="15"/>
        <v>55</v>
      </c>
    </row>
    <row r="134" spans="2:13" x14ac:dyDescent="0.3">
      <c r="B134" s="29">
        <v>43924</v>
      </c>
      <c r="C134">
        <f>Data!E97</f>
        <v>2268</v>
      </c>
      <c r="D134">
        <f>Data!F97</f>
        <v>182</v>
      </c>
      <c r="E134">
        <f>Data!G97</f>
        <v>300714</v>
      </c>
      <c r="F134">
        <f>Data!H97</f>
        <v>9992</v>
      </c>
      <c r="G134">
        <f t="shared" si="16"/>
        <v>1159</v>
      </c>
      <c r="H134" s="29">
        <v>43924</v>
      </c>
      <c r="I134">
        <f>Data!E89</f>
        <v>641</v>
      </c>
      <c r="J134">
        <f>Data!F89</f>
        <v>35</v>
      </c>
      <c r="K134">
        <f>Data!G89</f>
        <v>47352</v>
      </c>
      <c r="L134">
        <f>Data!H89</f>
        <v>498</v>
      </c>
      <c r="M134">
        <f t="shared" si="15"/>
        <v>53</v>
      </c>
    </row>
    <row r="135" spans="2:13" x14ac:dyDescent="0.3">
      <c r="B135" s="29">
        <v>43925</v>
      </c>
      <c r="C135">
        <f>Data!E111</f>
        <v>2603</v>
      </c>
      <c r="D135">
        <f>Data!F111</f>
        <v>233</v>
      </c>
      <c r="E135">
        <f>Data!G111</f>
        <v>323021</v>
      </c>
      <c r="F135">
        <f>Data!H111</f>
        <v>11182</v>
      </c>
      <c r="G135">
        <f t="shared" si="16"/>
        <v>1576</v>
      </c>
      <c r="H135" s="29">
        <v>43925</v>
      </c>
      <c r="I135">
        <f>Data!E103</f>
        <v>704</v>
      </c>
      <c r="J135">
        <f>Data!F103</f>
        <v>38</v>
      </c>
      <c r="K135">
        <f>Data!G103</f>
        <v>48508</v>
      </c>
      <c r="L135">
        <f>Data!H103</f>
        <v>461</v>
      </c>
      <c r="M135">
        <f t="shared" si="15"/>
        <v>29</v>
      </c>
    </row>
    <row r="136" spans="2:13" x14ac:dyDescent="0.3">
      <c r="B136" s="29">
        <v>43926</v>
      </c>
      <c r="C136">
        <f>(C135+C137)/2</f>
        <v>3068.5</v>
      </c>
      <c r="D136">
        <f>(D135+D137)/2</f>
        <v>277.5</v>
      </c>
      <c r="E136">
        <f>(E135+E137)/2</f>
        <v>333360.5</v>
      </c>
      <c r="F136">
        <f>(F135+F137)/2</f>
        <v>11942</v>
      </c>
      <c r="G136">
        <f t="shared" si="16"/>
        <v>1270</v>
      </c>
      <c r="H136" s="29">
        <v>43926</v>
      </c>
      <c r="I136">
        <f>(I135+I137)/2</f>
        <v>743.5</v>
      </c>
      <c r="J136">
        <f>(J135+J137)/2</f>
        <v>38.5</v>
      </c>
      <c r="K136">
        <f>(K135+K137)/2</f>
        <v>48508</v>
      </c>
      <c r="L136">
        <f>(L135+L137)/2</f>
        <v>452.5</v>
      </c>
      <c r="M136">
        <f t="shared" si="15"/>
        <v>31.5</v>
      </c>
    </row>
    <row r="137" spans="2:13" x14ac:dyDescent="0.3">
      <c r="B137" s="29">
        <v>43927</v>
      </c>
      <c r="C137">
        <f>Data!E125</f>
        <v>3534</v>
      </c>
      <c r="D137">
        <f>Data!F125</f>
        <v>322</v>
      </c>
      <c r="E137">
        <f>Data!G125</f>
        <v>343700</v>
      </c>
      <c r="F137">
        <f>Data!H125</f>
        <v>12702</v>
      </c>
      <c r="G137">
        <f t="shared" si="16"/>
        <v>1270</v>
      </c>
      <c r="H137" s="29">
        <v>43927</v>
      </c>
      <c r="I137">
        <f>Data!E117</f>
        <v>783</v>
      </c>
      <c r="J137">
        <f>Data!F117</f>
        <v>39</v>
      </c>
      <c r="K137">
        <f>Data!G117</f>
        <v>48508</v>
      </c>
      <c r="L137">
        <f>Data!H117</f>
        <v>444</v>
      </c>
      <c r="M137">
        <f t="shared" si="15"/>
        <v>31.5</v>
      </c>
    </row>
    <row r="138" spans="2:13" x14ac:dyDescent="0.3">
      <c r="B138" s="29">
        <v>43928</v>
      </c>
      <c r="C138">
        <f>Data!E139</f>
        <v>4050</v>
      </c>
      <c r="D138">
        <f>Data!F139</f>
        <v>381</v>
      </c>
      <c r="E138">
        <f>Data!G139</f>
        <v>357182</v>
      </c>
      <c r="F138">
        <f>Data!H139</f>
        <v>13466</v>
      </c>
      <c r="G138">
        <f t="shared" si="16"/>
        <v>1339</v>
      </c>
      <c r="H138" s="29">
        <v>43928</v>
      </c>
      <c r="I138">
        <f>Data!E131</f>
        <v>805</v>
      </c>
      <c r="J138">
        <f>Data!F131</f>
        <v>43</v>
      </c>
      <c r="K138">
        <f>Data!G131</f>
        <v>50350</v>
      </c>
      <c r="L138">
        <f>Data!H131</f>
        <v>443</v>
      </c>
      <c r="M138">
        <f t="shared" si="15"/>
        <v>25</v>
      </c>
    </row>
    <row r="139" spans="2:13" x14ac:dyDescent="0.3">
      <c r="B139" s="29">
        <v>43929</v>
      </c>
      <c r="C139">
        <f>Data!E153</f>
        <v>4653</v>
      </c>
      <c r="D139">
        <f>Data!F153</f>
        <v>435</v>
      </c>
      <c r="E139">
        <f>Data!G153</f>
        <v>371090</v>
      </c>
      <c r="F139">
        <f>Data!H153</f>
        <v>14202</v>
      </c>
      <c r="G139">
        <f t="shared" si="16"/>
        <v>1393</v>
      </c>
      <c r="H139" s="29">
        <v>43929</v>
      </c>
      <c r="I139">
        <f>Data!E145</f>
        <v>838</v>
      </c>
      <c r="J139">
        <f>Data!F145</f>
        <v>48</v>
      </c>
      <c r="K139">
        <f>Data!G145</f>
        <v>51423</v>
      </c>
      <c r="L139">
        <f>Data!H145</f>
        <v>450</v>
      </c>
      <c r="M139">
        <f t="shared" si="15"/>
        <v>45</v>
      </c>
    </row>
    <row r="140" spans="2:13" x14ac:dyDescent="0.3">
      <c r="B140" s="29">
        <v>43930</v>
      </c>
      <c r="C140">
        <f>Data!E167</f>
        <v>5311</v>
      </c>
      <c r="D140">
        <f>Data!F167</f>
        <v>509</v>
      </c>
      <c r="E140">
        <f>Data!G167</f>
        <v>384820</v>
      </c>
      <c r="F140">
        <f>Data!H167</f>
        <v>14945</v>
      </c>
      <c r="G140">
        <f t="shared" si="16"/>
        <v>1475</v>
      </c>
      <c r="H140" s="29">
        <v>43930</v>
      </c>
      <c r="I140">
        <f>Data!E159</f>
        <v>858</v>
      </c>
      <c r="J140">
        <f>Data!F159</f>
        <v>50</v>
      </c>
      <c r="K140">
        <f>Data!G159</f>
        <v>52412</v>
      </c>
      <c r="L140">
        <f>Data!H159</f>
        <v>468</v>
      </c>
      <c r="M140">
        <f t="shared" si="15"/>
        <v>40</v>
      </c>
    </row>
    <row r="141" spans="2:13" x14ac:dyDescent="0.3">
      <c r="B141" s="29">
        <v>43931</v>
      </c>
      <c r="C141">
        <f>Data!E181</f>
        <v>6013</v>
      </c>
      <c r="D141">
        <f>Data!F181</f>
        <v>569</v>
      </c>
      <c r="E141">
        <f>Data!G181</f>
        <v>393626</v>
      </c>
      <c r="F141">
        <f>Data!H181</f>
        <v>15566</v>
      </c>
      <c r="G141">
        <f t="shared" si="16"/>
        <v>1383</v>
      </c>
      <c r="H141" s="29">
        <v>43931</v>
      </c>
      <c r="I141">
        <f>Data!E173</f>
        <v>879</v>
      </c>
      <c r="J141">
        <f>Data!F173</f>
        <v>55</v>
      </c>
      <c r="K141">
        <f>Data!G173</f>
        <v>52412</v>
      </c>
      <c r="L141">
        <f>Data!H173</f>
        <v>476</v>
      </c>
      <c r="M141">
        <f t="shared" si="15"/>
        <v>34</v>
      </c>
    </row>
    <row r="142" spans="2:13" x14ac:dyDescent="0.3">
      <c r="B142" s="29">
        <v>43932</v>
      </c>
      <c r="C142">
        <f>Data!E195</f>
        <v>6428</v>
      </c>
      <c r="D142">
        <f>Data!F195</f>
        <v>653</v>
      </c>
      <c r="E142">
        <f>Data!G195</f>
        <v>407865</v>
      </c>
      <c r="F142">
        <f>Data!H195</f>
        <v>16237</v>
      </c>
      <c r="G142">
        <f t="shared" si="16"/>
        <v>1170</v>
      </c>
      <c r="H142" s="29">
        <v>43932</v>
      </c>
      <c r="I142">
        <f>Data!E187</f>
        <v>905</v>
      </c>
      <c r="J142">
        <f>Data!F187</f>
        <v>58</v>
      </c>
      <c r="K142">
        <f>Data!G187</f>
        <v>53505</v>
      </c>
      <c r="L142">
        <f>Data!H187</f>
        <v>482</v>
      </c>
      <c r="M142">
        <f t="shared" si="15"/>
        <v>35</v>
      </c>
    </row>
    <row r="143" spans="2:13" x14ac:dyDescent="0.3">
      <c r="B143" s="29">
        <v>43933</v>
      </c>
      <c r="C143">
        <f>(C142+C144)/2</f>
        <v>7092</v>
      </c>
      <c r="D143">
        <f>(D142+D144)/2</f>
        <v>716.5</v>
      </c>
      <c r="E143">
        <f>(E142+E144)/2</f>
        <v>426749.5</v>
      </c>
      <c r="F143">
        <f>(F142+F144)/2</f>
        <v>16690.5</v>
      </c>
      <c r="G143">
        <f t="shared" si="16"/>
        <v>1181</v>
      </c>
      <c r="H143" s="29">
        <v>43933</v>
      </c>
      <c r="I143">
        <f>(I142+I144)/2</f>
        <v>915.5</v>
      </c>
      <c r="J143">
        <f>(J142+J144)/2</f>
        <v>63.5</v>
      </c>
      <c r="K143">
        <f>(K142+K144)/2</f>
        <v>54823.5</v>
      </c>
      <c r="L143">
        <f>(L142+L144)/2</f>
        <v>488.5</v>
      </c>
      <c r="M143">
        <f t="shared" si="15"/>
        <v>22.5</v>
      </c>
    </row>
    <row r="144" spans="2:13" x14ac:dyDescent="0.3">
      <c r="B144" s="29">
        <v>43934</v>
      </c>
      <c r="C144">
        <f>Data!E209</f>
        <v>7756</v>
      </c>
      <c r="D144">
        <f>Data!F209</f>
        <v>780</v>
      </c>
      <c r="E144">
        <f>Data!G209</f>
        <v>445634</v>
      </c>
      <c r="F144">
        <f>Data!H209</f>
        <v>17144</v>
      </c>
      <c r="G144">
        <f t="shared" si="16"/>
        <v>1181</v>
      </c>
      <c r="H144" s="29">
        <v>43934</v>
      </c>
      <c r="I144">
        <f>Data!E201</f>
        <v>926</v>
      </c>
      <c r="J144">
        <f>Data!F201</f>
        <v>69</v>
      </c>
      <c r="K144">
        <f>Data!G201</f>
        <v>56142</v>
      </c>
      <c r="L144">
        <f>Data!H201</f>
        <v>495</v>
      </c>
      <c r="M144">
        <f t="shared" si="15"/>
        <v>22.5</v>
      </c>
    </row>
    <row r="145" spans="2:13" x14ac:dyDescent="0.3">
      <c r="B145" s="29">
        <v>43935</v>
      </c>
      <c r="C145">
        <f>Data!E223</f>
        <v>8219</v>
      </c>
      <c r="D145">
        <f>Data!F223</f>
        <v>900</v>
      </c>
      <c r="E145">
        <f>Data!G223</f>
        <v>462414</v>
      </c>
      <c r="F145">
        <f>Data!H223</f>
        <v>17944</v>
      </c>
      <c r="G145">
        <f t="shared" si="16"/>
        <v>1383</v>
      </c>
      <c r="H145" s="29">
        <v>43935</v>
      </c>
      <c r="I145">
        <f>Data!E215</f>
        <v>942</v>
      </c>
      <c r="J145">
        <f>Data!F215</f>
        <v>72</v>
      </c>
      <c r="K145">
        <f>Data!G215</f>
        <v>56142</v>
      </c>
      <c r="L145">
        <f>Data!H215</f>
        <v>503</v>
      </c>
      <c r="M145">
        <f t="shared" si="15"/>
        <v>27</v>
      </c>
    </row>
    <row r="146" spans="2:13" x14ac:dyDescent="0.3">
      <c r="B146" s="29">
        <v>43936</v>
      </c>
      <c r="C146">
        <f>Data!E237</f>
        <v>8979</v>
      </c>
      <c r="D146">
        <f>Data!F237</f>
        <v>1010</v>
      </c>
      <c r="E146">
        <f>Data!G237</f>
        <v>479458</v>
      </c>
      <c r="F146">
        <f>Data!H237</f>
        <v>18408</v>
      </c>
      <c r="G146">
        <f t="shared" si="16"/>
        <v>1334</v>
      </c>
      <c r="H146" s="29">
        <v>43936</v>
      </c>
      <c r="I146">
        <f>Data!E229</f>
        <v>995</v>
      </c>
      <c r="J146">
        <f>Data!F229</f>
        <v>75</v>
      </c>
      <c r="K146">
        <f>Data!G229</f>
        <v>56262</v>
      </c>
      <c r="L146">
        <f>Data!H229</f>
        <v>491</v>
      </c>
      <c r="M146">
        <f t="shared" si="15"/>
        <v>44</v>
      </c>
    </row>
    <row r="147" spans="2:13" x14ac:dyDescent="0.3">
      <c r="B147" s="29">
        <v>43937</v>
      </c>
      <c r="C147">
        <f>Data!E251</f>
        <v>9729</v>
      </c>
      <c r="D147">
        <f>Data!F251</f>
        <v>1196</v>
      </c>
      <c r="E147">
        <f>Data!G251</f>
        <v>499893</v>
      </c>
      <c r="F147">
        <f>Data!H251</f>
        <v>19181</v>
      </c>
      <c r="G147">
        <f t="shared" si="16"/>
        <v>1709</v>
      </c>
      <c r="H147" s="29">
        <v>43937</v>
      </c>
      <c r="I147">
        <f>Data!E243</f>
        <v>983</v>
      </c>
      <c r="J147">
        <f>Data!F243</f>
        <v>78</v>
      </c>
      <c r="K147">
        <f>Data!G243</f>
        <v>59185</v>
      </c>
      <c r="L147">
        <f>Data!H243</f>
        <v>514</v>
      </c>
      <c r="M147">
        <f t="shared" si="15"/>
        <v>14</v>
      </c>
    </row>
    <row r="148" spans="2:13" x14ac:dyDescent="0.3">
      <c r="B148" s="29">
        <v>43938</v>
      </c>
      <c r="C148">
        <f>Data!E265</f>
        <v>10543</v>
      </c>
      <c r="D148">
        <f>Data!F265</f>
        <v>1310</v>
      </c>
      <c r="E148">
        <f>Data!G265</f>
        <v>524466</v>
      </c>
      <c r="F148">
        <f>Data!H265</f>
        <v>20074</v>
      </c>
      <c r="G148">
        <f t="shared" si="16"/>
        <v>1821</v>
      </c>
      <c r="H148" s="29">
        <v>43938</v>
      </c>
      <c r="I148">
        <f>Data!E257</f>
        <v>966</v>
      </c>
      <c r="J148">
        <f>Data!F257</f>
        <v>78</v>
      </c>
      <c r="K148">
        <f>Data!G257</f>
        <v>59185</v>
      </c>
      <c r="L148">
        <f>Data!H257</f>
        <v>574</v>
      </c>
      <c r="M148">
        <f t="shared" si="15"/>
        <v>43</v>
      </c>
    </row>
    <row r="149" spans="2:13" x14ac:dyDescent="0.3">
      <c r="B149" s="29">
        <v>43939</v>
      </c>
      <c r="C149">
        <f>Data!E279</f>
        <v>11207</v>
      </c>
      <c r="D149">
        <f>Data!F279</f>
        <v>1470</v>
      </c>
      <c r="E149">
        <f>Data!G279</f>
        <v>547575</v>
      </c>
      <c r="F149">
        <f>Data!H279</f>
        <v>20706</v>
      </c>
      <c r="G149">
        <f t="shared" si="16"/>
        <v>1456</v>
      </c>
      <c r="H149" s="29">
        <v>43939</v>
      </c>
      <c r="I149">
        <f>Data!E271</f>
        <v>987</v>
      </c>
      <c r="J149">
        <f>Data!F271</f>
        <v>81</v>
      </c>
      <c r="K149">
        <f>Data!G271</f>
        <v>60668</v>
      </c>
      <c r="L149">
        <f>Data!H271</f>
        <v>579</v>
      </c>
      <c r="M149">
        <f t="shared" si="15"/>
        <v>29</v>
      </c>
    </row>
    <row r="150" spans="2:13" x14ac:dyDescent="0.3">
      <c r="B150" s="29">
        <v>43940</v>
      </c>
      <c r="C150">
        <f>(C149+C151)/2</f>
        <v>11896.5</v>
      </c>
      <c r="D150">
        <f>(D149+D151)/2</f>
        <v>1580</v>
      </c>
      <c r="E150">
        <f>(E149+E151)/2</f>
        <v>567839</v>
      </c>
      <c r="F150">
        <f>(F149+F151)/2</f>
        <v>21630.5</v>
      </c>
      <c r="G150">
        <f t="shared" si="16"/>
        <v>1724</v>
      </c>
      <c r="H150" s="29">
        <v>43940</v>
      </c>
      <c r="I150">
        <f>(I149+I151)/2</f>
        <v>1013</v>
      </c>
      <c r="J150">
        <f>(J149+J151)/2</f>
        <v>83.5</v>
      </c>
      <c r="K150">
        <f>(K149+K151)/2</f>
        <v>60668</v>
      </c>
      <c r="L150">
        <f>(L149+L151)/2</f>
        <v>576.5</v>
      </c>
      <c r="M150">
        <f t="shared" si="15"/>
        <v>26</v>
      </c>
    </row>
    <row r="151" spans="2:13" x14ac:dyDescent="0.3">
      <c r="B151" s="29">
        <v>43941</v>
      </c>
      <c r="C151">
        <f>Data!E293</f>
        <v>12586</v>
      </c>
      <c r="D151">
        <f>Data!F293</f>
        <v>1690</v>
      </c>
      <c r="E151">
        <f>Data!G293</f>
        <v>588103</v>
      </c>
      <c r="F151">
        <f>Data!H293</f>
        <v>22555</v>
      </c>
      <c r="G151">
        <f t="shared" si="16"/>
        <v>1724</v>
      </c>
      <c r="H151" s="29">
        <v>43941</v>
      </c>
      <c r="I151">
        <f>Data!E285</f>
        <v>1039</v>
      </c>
      <c r="J151">
        <f>Data!F285</f>
        <v>86</v>
      </c>
      <c r="K151">
        <f>Data!G285</f>
        <v>60668</v>
      </c>
      <c r="L151">
        <f>Data!H285</f>
        <v>574</v>
      </c>
      <c r="M151">
        <f t="shared" si="15"/>
        <v>26</v>
      </c>
    </row>
    <row r="152" spans="2:13" x14ac:dyDescent="0.3">
      <c r="B152" s="29">
        <v>43942</v>
      </c>
      <c r="C152">
        <f>Data!E307</f>
        <v>13188</v>
      </c>
      <c r="D152">
        <f>Data!F307</f>
        <v>1834</v>
      </c>
      <c r="E152">
        <f>Data!G307</f>
        <v>610234</v>
      </c>
      <c r="F152">
        <f>Data!H307</f>
        <v>23420</v>
      </c>
      <c r="G152">
        <f t="shared" si="16"/>
        <v>1611</v>
      </c>
      <c r="H152" s="29">
        <v>43942</v>
      </c>
      <c r="I152">
        <f>Data!E299</f>
        <v>1041</v>
      </c>
      <c r="J152">
        <f>Data!F299</f>
        <v>87</v>
      </c>
      <c r="K152">
        <f>Data!G299</f>
        <v>64375</v>
      </c>
      <c r="L152">
        <f>Data!H299</f>
        <v>596</v>
      </c>
      <c r="M152">
        <f t="shared" si="15"/>
        <v>25</v>
      </c>
    </row>
    <row r="153" spans="2:13" x14ac:dyDescent="0.3">
      <c r="B153" s="29">
        <v>43943</v>
      </c>
      <c r="C153">
        <f>Data!E321</f>
        <v>13986</v>
      </c>
      <c r="D153">
        <f>Data!F321</f>
        <v>1974</v>
      </c>
      <c r="E153">
        <f>Data!G321</f>
        <v>635858</v>
      </c>
      <c r="F153">
        <f>Data!H321</f>
        <v>24230</v>
      </c>
      <c r="G153">
        <f t="shared" si="16"/>
        <v>1748</v>
      </c>
      <c r="H153" s="29">
        <v>43943</v>
      </c>
      <c r="I153">
        <f>Data!E313</f>
        <v>1079</v>
      </c>
      <c r="J153">
        <f>Data!F313</f>
        <v>90</v>
      </c>
      <c r="K153">
        <f>Data!G313</f>
        <v>65545</v>
      </c>
      <c r="L153">
        <f>Data!H313</f>
        <v>626</v>
      </c>
      <c r="M153">
        <f t="shared" si="15"/>
        <v>71</v>
      </c>
    </row>
    <row r="154" spans="2:13" x14ac:dyDescent="0.3">
      <c r="B154" s="29">
        <v>43944</v>
      </c>
      <c r="C154">
        <f>Data!E335</f>
        <v>14761</v>
      </c>
      <c r="D154">
        <f>Data!F335</f>
        <v>2147</v>
      </c>
      <c r="E154">
        <f>Data!G335</f>
        <v>652337</v>
      </c>
      <c r="F154">
        <f>Data!H335</f>
        <v>25202</v>
      </c>
      <c r="G154">
        <f t="shared" si="16"/>
        <v>1920</v>
      </c>
      <c r="H154" s="29">
        <v>43944</v>
      </c>
      <c r="I154">
        <f>Data!E327</f>
        <v>1092</v>
      </c>
      <c r="J154">
        <f>Data!F327</f>
        <v>94</v>
      </c>
      <c r="K154">
        <f>Data!G327</f>
        <v>66977</v>
      </c>
      <c r="L154">
        <f>Data!H327</f>
        <v>638</v>
      </c>
      <c r="M154">
        <f t="shared" si="15"/>
        <v>29</v>
      </c>
    </row>
    <row r="155" spans="2:13" x14ac:dyDescent="0.3">
      <c r="B155" s="29">
        <v>43945</v>
      </c>
      <c r="C155">
        <f>Data!E349</f>
        <v>15541</v>
      </c>
      <c r="D155">
        <f>Data!F349</f>
        <v>2302</v>
      </c>
      <c r="E155">
        <f>Data!G349</f>
        <v>679562</v>
      </c>
      <c r="F155">
        <f>Data!H349</f>
        <v>26045</v>
      </c>
      <c r="G155">
        <f t="shared" si="16"/>
        <v>1778</v>
      </c>
      <c r="H155" s="29">
        <v>43945</v>
      </c>
      <c r="I155">
        <f>Data!E341</f>
        <v>1114</v>
      </c>
      <c r="J155">
        <f>Data!F341</f>
        <v>98</v>
      </c>
      <c r="K155">
        <f>Data!G341</f>
        <v>71415</v>
      </c>
      <c r="L155">
        <f>Data!H341</f>
        <v>641</v>
      </c>
      <c r="M155">
        <f t="shared" si="15"/>
        <v>29</v>
      </c>
    </row>
    <row r="156" spans="2:13" x14ac:dyDescent="0.3">
      <c r="B156" s="29">
        <v>43946</v>
      </c>
      <c r="C156">
        <f>Data!E363</f>
        <v>16425</v>
      </c>
      <c r="D156">
        <f>Data!F363</f>
        <v>2465</v>
      </c>
      <c r="E156">
        <f>Data!G363</f>
        <v>704711</v>
      </c>
      <c r="F156">
        <f>Data!H363</f>
        <v>26455</v>
      </c>
      <c r="G156">
        <f t="shared" si="16"/>
        <v>1457</v>
      </c>
      <c r="H156" s="29">
        <v>43946</v>
      </c>
      <c r="I156">
        <f>Data!E355</f>
        <v>1137</v>
      </c>
      <c r="J156">
        <f>Data!F355</f>
        <v>100</v>
      </c>
      <c r="K156">
        <f>Data!G355</f>
        <v>71415</v>
      </c>
      <c r="L156">
        <f>Data!H355</f>
        <v>711</v>
      </c>
      <c r="M156">
        <f t="shared" si="15"/>
        <v>95</v>
      </c>
    </row>
    <row r="157" spans="2:13" x14ac:dyDescent="0.3">
      <c r="B157" s="29">
        <v>43947</v>
      </c>
      <c r="C157">
        <f>(C156+C158)/2</f>
        <v>17346.5</v>
      </c>
      <c r="D157">
        <f>(D156+D158)/2</f>
        <v>2586</v>
      </c>
      <c r="E157">
        <f>(E156+E158)/2</f>
        <v>733295</v>
      </c>
      <c r="F157">
        <f>(F156+F158)/2</f>
        <v>26990</v>
      </c>
      <c r="G157">
        <f t="shared" si="16"/>
        <v>1577.5</v>
      </c>
      <c r="H157" s="29">
        <v>43947</v>
      </c>
      <c r="I157">
        <f>(I156+I158)/2</f>
        <v>1163.5</v>
      </c>
      <c r="J157">
        <f>(J156+J158)/2</f>
        <v>101.5</v>
      </c>
      <c r="K157">
        <f>(K156+K158)/2</f>
        <v>75040</v>
      </c>
      <c r="L157">
        <f>(L156+L158)/2</f>
        <v>708</v>
      </c>
      <c r="M157">
        <f t="shared" si="15"/>
        <v>25</v>
      </c>
    </row>
    <row r="158" spans="2:13" x14ac:dyDescent="0.3">
      <c r="B158" s="29">
        <v>43948</v>
      </c>
      <c r="C158">
        <f>Data!E377</f>
        <v>18268</v>
      </c>
      <c r="D158">
        <f>Data!F377</f>
        <v>2707</v>
      </c>
      <c r="E158">
        <f>Data!G377</f>
        <v>761879</v>
      </c>
      <c r="F158">
        <f>Data!H377</f>
        <v>27525</v>
      </c>
      <c r="G158">
        <f t="shared" si="16"/>
        <v>1577.5</v>
      </c>
      <c r="H158" s="29">
        <v>43948</v>
      </c>
      <c r="I158">
        <f>Data!E369</f>
        <v>1190</v>
      </c>
      <c r="J158">
        <f>Data!F369</f>
        <v>103</v>
      </c>
      <c r="K158">
        <f>Data!G369</f>
        <v>78665</v>
      </c>
      <c r="L158">
        <f>Data!H369</f>
        <v>705</v>
      </c>
      <c r="M158">
        <f t="shared" si="15"/>
        <v>25</v>
      </c>
    </row>
    <row r="159" spans="2:13" x14ac:dyDescent="0.3">
      <c r="B159" s="29">
        <v>43949</v>
      </c>
      <c r="C159">
        <f>Data!E391</f>
        <v>19231</v>
      </c>
      <c r="D159">
        <f>Data!F391</f>
        <v>2859</v>
      </c>
      <c r="E159">
        <f>Data!G391</f>
        <v>779548</v>
      </c>
      <c r="F159">
        <f>Data!H391</f>
        <v>27936</v>
      </c>
      <c r="G159">
        <f t="shared" si="16"/>
        <v>1526</v>
      </c>
      <c r="H159" s="29">
        <v>43949</v>
      </c>
      <c r="I159">
        <f>Data!E383</f>
        <v>1231</v>
      </c>
      <c r="J159">
        <f>Data!F383</f>
        <v>105</v>
      </c>
      <c r="K159">
        <f>Data!G383</f>
        <v>80888</v>
      </c>
      <c r="L159">
        <f>Data!H383</f>
        <v>717</v>
      </c>
      <c r="M159">
        <f t="shared" si="15"/>
        <v>55</v>
      </c>
    </row>
    <row r="160" spans="2:13" x14ac:dyDescent="0.3">
      <c r="B160" s="29">
        <v>43950</v>
      </c>
      <c r="C160">
        <f>Data!E405</f>
        <v>20327</v>
      </c>
      <c r="D160">
        <f>Data!F405</f>
        <v>2996</v>
      </c>
      <c r="E160">
        <f>Data!G405</f>
        <v>810103</v>
      </c>
      <c r="F160">
        <f>Data!H405</f>
        <v>28274</v>
      </c>
      <c r="G160">
        <f t="shared" si="16"/>
        <v>1571</v>
      </c>
      <c r="H160" s="29">
        <v>43950</v>
      </c>
      <c r="I160">
        <f>Data!E397</f>
        <v>1305</v>
      </c>
      <c r="J160">
        <f>Data!F397</f>
        <v>109</v>
      </c>
      <c r="K160">
        <f>Data!G397</f>
        <v>83425</v>
      </c>
      <c r="L160">
        <f>Data!H397</f>
        <v>673</v>
      </c>
      <c r="M160">
        <f t="shared" si="15"/>
        <v>34</v>
      </c>
    </row>
    <row r="161" spans="2:13" x14ac:dyDescent="0.3">
      <c r="B161" s="29">
        <v>43951</v>
      </c>
      <c r="C161">
        <f>Data!E419</f>
        <v>21423</v>
      </c>
      <c r="D161">
        <f>Data!F419</f>
        <v>3184</v>
      </c>
      <c r="E161">
        <f>Data!G419</f>
        <v>833611</v>
      </c>
      <c r="F161">
        <f>Data!H419</f>
        <v>28629</v>
      </c>
      <c r="G161">
        <f t="shared" si="16"/>
        <v>1639</v>
      </c>
      <c r="H161" s="29">
        <v>43951</v>
      </c>
      <c r="I161">
        <f>Data!E411</f>
        <v>1325</v>
      </c>
      <c r="J161">
        <f>Data!F411</f>
        <v>111</v>
      </c>
      <c r="K161">
        <f>Data!G411</f>
        <v>83425</v>
      </c>
      <c r="L161">
        <f>Data!H411</f>
        <v>676</v>
      </c>
      <c r="M161">
        <f t="shared" si="15"/>
        <v>25</v>
      </c>
    </row>
    <row r="162" spans="2:13" x14ac:dyDescent="0.3">
      <c r="B162" s="29">
        <v>43952</v>
      </c>
      <c r="C162">
        <f>Data!E433</f>
        <v>22751</v>
      </c>
      <c r="D162">
        <f>Data!F433</f>
        <v>3391</v>
      </c>
      <c r="E162">
        <f>Data!G433</f>
        <v>866221</v>
      </c>
      <c r="F162">
        <f>Data!H433</f>
        <v>28919</v>
      </c>
      <c r="G162">
        <f t="shared" si="16"/>
        <v>1825</v>
      </c>
      <c r="H162" s="29">
        <v>43952</v>
      </c>
      <c r="I162">
        <f>Data!E425</f>
        <v>1322</v>
      </c>
      <c r="J162">
        <f>Data!F425</f>
        <v>111</v>
      </c>
      <c r="K162">
        <f>Data!G425</f>
        <v>86030</v>
      </c>
      <c r="L162">
        <f>Data!H425</f>
        <v>679</v>
      </c>
      <c r="M162">
        <f t="shared" si="15"/>
        <v>0</v>
      </c>
    </row>
    <row r="163" spans="2:13" x14ac:dyDescent="0.3">
      <c r="B163" s="29">
        <v>43953</v>
      </c>
      <c r="C163">
        <f>Data!E447</f>
        <v>23801</v>
      </c>
      <c r="D163">
        <f>Data!F447</f>
        <v>3566</v>
      </c>
      <c r="E163">
        <f>Data!G447</f>
        <v>891249</v>
      </c>
      <c r="F163">
        <f>Data!H447</f>
        <v>29347</v>
      </c>
      <c r="G163">
        <f t="shared" si="16"/>
        <v>1653</v>
      </c>
      <c r="H163" s="29">
        <v>43953</v>
      </c>
      <c r="I163">
        <f>Data!E439</f>
        <v>1357</v>
      </c>
      <c r="J163">
        <f>Data!F439</f>
        <v>112</v>
      </c>
      <c r="K163">
        <f>Data!G439</f>
        <v>88670</v>
      </c>
      <c r="L163">
        <f>Data!H439</f>
        <v>676</v>
      </c>
      <c r="M163">
        <f t="shared" si="15"/>
        <v>33</v>
      </c>
    </row>
    <row r="164" spans="2:13" x14ac:dyDescent="0.3">
      <c r="B164" s="29">
        <v>43954</v>
      </c>
      <c r="C164">
        <f>(C163+C165)/2</f>
        <v>24909</v>
      </c>
      <c r="D164">
        <f>(D163+D165)/2</f>
        <v>3710</v>
      </c>
      <c r="E164">
        <f>(E163+E165)/2</f>
        <v>924654</v>
      </c>
      <c r="F164">
        <f>(F163+F165)/2</f>
        <v>30124</v>
      </c>
      <c r="G164">
        <f t="shared" si="16"/>
        <v>2029</v>
      </c>
      <c r="H164" s="29">
        <v>43954</v>
      </c>
      <c r="I164">
        <f>(I163+I165)/2</f>
        <v>1387</v>
      </c>
      <c r="J164">
        <f>(J163+J165)/2</f>
        <v>114.5</v>
      </c>
      <c r="K164">
        <f>(K163+K165)/2</f>
        <v>92593.5</v>
      </c>
      <c r="L164">
        <f>(L163+L165)/2</f>
        <v>683</v>
      </c>
      <c r="M164">
        <f t="shared" si="15"/>
        <v>39.5</v>
      </c>
    </row>
    <row r="165" spans="2:13" x14ac:dyDescent="0.3">
      <c r="B165" s="29">
        <v>43955</v>
      </c>
      <c r="C165">
        <f>Data!E461</f>
        <v>26017</v>
      </c>
      <c r="D165">
        <f>Data!F461</f>
        <v>3854</v>
      </c>
      <c r="E165">
        <f>Data!G461</f>
        <v>958059</v>
      </c>
      <c r="F165">
        <f>Data!H461</f>
        <v>30901</v>
      </c>
      <c r="G165">
        <f t="shared" si="16"/>
        <v>2029</v>
      </c>
      <c r="H165" s="29">
        <v>43955</v>
      </c>
      <c r="I165">
        <f>Data!E453</f>
        <v>1417</v>
      </c>
      <c r="J165">
        <f>Data!F453</f>
        <v>117</v>
      </c>
      <c r="K165">
        <f>Data!G453</f>
        <v>96517</v>
      </c>
      <c r="L165">
        <f>Data!H453</f>
        <v>690</v>
      </c>
      <c r="M165">
        <f t="shared" si="15"/>
        <v>39.5</v>
      </c>
    </row>
    <row r="166" spans="2:13" x14ac:dyDescent="0.3">
      <c r="B166" s="29">
        <v>43956</v>
      </c>
      <c r="C166">
        <f>Data!E475</f>
        <v>26993</v>
      </c>
      <c r="D166">
        <f>Data!F475</f>
        <v>4043</v>
      </c>
      <c r="E166">
        <f>Data!G475</f>
        <v>974510</v>
      </c>
      <c r="F166">
        <f>Data!H475</f>
        <v>31010</v>
      </c>
      <c r="G166">
        <f t="shared" si="16"/>
        <v>1274</v>
      </c>
      <c r="H166" s="29">
        <v>43956</v>
      </c>
      <c r="I166">
        <f>Data!E467</f>
        <v>1472</v>
      </c>
      <c r="J166">
        <f>Data!F467</f>
        <v>121</v>
      </c>
      <c r="K166">
        <f>Data!G467</f>
        <v>98199</v>
      </c>
      <c r="L166">
        <f>Data!H467</f>
        <v>639</v>
      </c>
      <c r="M166">
        <f t="shared" si="15"/>
        <v>8</v>
      </c>
    </row>
    <row r="167" spans="2:13" x14ac:dyDescent="0.3">
      <c r="B167" s="29">
        <v>43957</v>
      </c>
      <c r="C167">
        <f>Data!E489</f>
        <v>28171</v>
      </c>
      <c r="D167">
        <f>Data!F489</f>
        <v>4232</v>
      </c>
      <c r="E167">
        <f>Data!G489</f>
        <v>995483</v>
      </c>
      <c r="F167">
        <f>Data!H489</f>
        <v>31023</v>
      </c>
      <c r="G167">
        <f t="shared" si="16"/>
        <v>1380</v>
      </c>
      <c r="H167" s="29">
        <v>43957</v>
      </c>
      <c r="I167">
        <f>Data!E481</f>
        <v>1494</v>
      </c>
      <c r="J167">
        <f>Data!F481</f>
        <v>124</v>
      </c>
      <c r="K167">
        <f>Data!G481</f>
        <v>100093</v>
      </c>
      <c r="L167">
        <f>Data!H481</f>
        <v>637</v>
      </c>
      <c r="M167">
        <f t="shared" si="15"/>
        <v>23</v>
      </c>
    </row>
    <row r="168" spans="2:13" x14ac:dyDescent="0.3">
      <c r="B168" s="29">
        <v>43958</v>
      </c>
      <c r="C168">
        <f>Data!E503</f>
        <v>28972</v>
      </c>
      <c r="D168">
        <f>Data!F503</f>
        <v>4404</v>
      </c>
      <c r="E168">
        <f>Data!G503</f>
        <v>1019690</v>
      </c>
      <c r="F168">
        <f>Data!H503</f>
        <v>31459</v>
      </c>
      <c r="G168">
        <f t="shared" si="16"/>
        <v>1409</v>
      </c>
      <c r="H168" s="29">
        <v>43958</v>
      </c>
      <c r="I168">
        <f>Data!E495</f>
        <v>1512</v>
      </c>
      <c r="J168">
        <f>Data!F495</f>
        <v>126</v>
      </c>
      <c r="K168">
        <f>Data!G495</f>
        <v>102710</v>
      </c>
      <c r="L168">
        <f>Data!H495</f>
        <v>650</v>
      </c>
      <c r="M168">
        <f t="shared" si="15"/>
        <v>33</v>
      </c>
    </row>
    <row r="169" spans="2:13" x14ac:dyDescent="0.3">
      <c r="B169" s="29">
        <v>43959</v>
      </c>
      <c r="C169">
        <f>Data!E517</f>
        <v>30406</v>
      </c>
      <c r="D169">
        <f>Data!F517</f>
        <v>4569</v>
      </c>
      <c r="E169">
        <f>Data!G517</f>
        <v>1074610</v>
      </c>
      <c r="F169">
        <f>Data!H517</f>
        <v>31459</v>
      </c>
      <c r="G169">
        <f t="shared" si="16"/>
        <v>1599</v>
      </c>
      <c r="H169" s="29">
        <v>43959</v>
      </c>
      <c r="I169">
        <f>Data!E509</f>
        <v>1579</v>
      </c>
      <c r="J169">
        <f>Data!F509</f>
        <v>127</v>
      </c>
      <c r="K169">
        <f>Data!G509</f>
        <v>104994</v>
      </c>
      <c r="L169">
        <f>Data!H509</f>
        <v>609</v>
      </c>
      <c r="M169">
        <f t="shared" si="15"/>
        <v>27</v>
      </c>
    </row>
    <row r="170" spans="2:13" x14ac:dyDescent="0.3">
      <c r="B170" s="29">
        <v>43960</v>
      </c>
      <c r="C170">
        <f>Data!E531</f>
        <v>31249</v>
      </c>
      <c r="D170">
        <f>Data!F531</f>
        <v>4693</v>
      </c>
      <c r="E170">
        <f>Data!G531</f>
        <v>1115121</v>
      </c>
      <c r="F170">
        <f>Data!H531</f>
        <v>31760</v>
      </c>
      <c r="G170">
        <f t="shared" si="16"/>
        <v>1268</v>
      </c>
      <c r="H170" s="29">
        <v>43960</v>
      </c>
      <c r="I170">
        <f>Data!E523</f>
        <v>1659</v>
      </c>
      <c r="J170">
        <f>Data!F523</f>
        <v>129</v>
      </c>
      <c r="K170">
        <f>Data!G523</f>
        <v>104994</v>
      </c>
      <c r="L170">
        <f>Data!H523</f>
        <v>542</v>
      </c>
      <c r="M170">
        <f t="shared" si="15"/>
        <v>15</v>
      </c>
    </row>
    <row r="171" spans="2:13" x14ac:dyDescent="0.3">
      <c r="B171" s="29">
        <v>43961</v>
      </c>
      <c r="C171">
        <f>(C170+C172)/2</f>
        <v>32121.5</v>
      </c>
      <c r="D171">
        <f t="shared" ref="D171:L171" si="17">(D170+D172)/2</f>
        <v>4843</v>
      </c>
      <c r="E171">
        <f t="shared" si="17"/>
        <v>1139743</v>
      </c>
      <c r="F171">
        <f t="shared" si="17"/>
        <v>31877</v>
      </c>
      <c r="G171">
        <f t="shared" si="16"/>
        <v>1139.5</v>
      </c>
      <c r="H171" s="29">
        <v>43961</v>
      </c>
      <c r="I171">
        <f t="shared" si="17"/>
        <v>1689</v>
      </c>
      <c r="J171">
        <f t="shared" si="17"/>
        <v>129.5</v>
      </c>
      <c r="K171">
        <f t="shared" si="17"/>
        <v>108246</v>
      </c>
      <c r="L171">
        <f t="shared" si="17"/>
        <v>523</v>
      </c>
      <c r="M171">
        <f t="shared" si="15"/>
        <v>11.5</v>
      </c>
    </row>
    <row r="172" spans="2:13" x14ac:dyDescent="0.3">
      <c r="B172" s="29">
        <v>43962</v>
      </c>
      <c r="C172">
        <f>Data!E545</f>
        <v>32994</v>
      </c>
      <c r="D172">
        <f>Data!F545</f>
        <v>4993</v>
      </c>
      <c r="E172">
        <f>Data!G545</f>
        <v>1164365</v>
      </c>
      <c r="F172">
        <f>Data!H545</f>
        <v>31994</v>
      </c>
      <c r="G172">
        <f t="shared" si="16"/>
        <v>1139.5</v>
      </c>
      <c r="H172" s="29">
        <v>43962</v>
      </c>
      <c r="I172">
        <f>Data!E537</f>
        <v>1719</v>
      </c>
      <c r="J172">
        <f>Data!F537</f>
        <v>130</v>
      </c>
      <c r="K172">
        <f>Data!G537</f>
        <v>111498</v>
      </c>
      <c r="L172">
        <f>Data!H537</f>
        <v>504</v>
      </c>
      <c r="M172">
        <f t="shared" si="15"/>
        <v>11.5</v>
      </c>
    </row>
    <row r="173" spans="2:13" x14ac:dyDescent="0.3">
      <c r="B173" s="29">
        <v>43963</v>
      </c>
      <c r="C173">
        <f>Data!E559</f>
        <v>34042</v>
      </c>
      <c r="D173">
        <f>Data!F559</f>
        <v>5169</v>
      </c>
      <c r="E173">
        <f>Data!G559</f>
        <v>1182463</v>
      </c>
      <c r="F173">
        <f>Data!H559</f>
        <v>31946</v>
      </c>
      <c r="G173">
        <f t="shared" si="16"/>
        <v>1176</v>
      </c>
      <c r="H173" s="29">
        <v>43963</v>
      </c>
      <c r="I173">
        <f>Data!E551</f>
        <v>1832</v>
      </c>
      <c r="J173">
        <f>Data!F551</f>
        <v>131</v>
      </c>
      <c r="K173">
        <f>Data!G551</f>
        <v>112994</v>
      </c>
      <c r="L173">
        <f>Data!H551</f>
        <v>397</v>
      </c>
      <c r="M173">
        <f t="shared" si="15"/>
        <v>7</v>
      </c>
    </row>
    <row r="174" spans="2:13" x14ac:dyDescent="0.3">
      <c r="B174" s="29">
        <v>43964</v>
      </c>
      <c r="C174">
        <f>Data!E573</f>
        <v>35158</v>
      </c>
      <c r="D174">
        <f>Data!F573</f>
        <v>5304</v>
      </c>
      <c r="E174">
        <f>Data!G573</f>
        <v>1227578</v>
      </c>
      <c r="F174">
        <f>Data!H573</f>
        <v>31817</v>
      </c>
      <c r="G174">
        <f t="shared" si="16"/>
        <v>1122</v>
      </c>
      <c r="H174" s="29">
        <v>43964</v>
      </c>
      <c r="I174">
        <f>Data!E565</f>
        <v>1859</v>
      </c>
      <c r="J174">
        <f>Data!F565</f>
        <v>132</v>
      </c>
      <c r="K174">
        <f>Data!G565</f>
        <v>114761</v>
      </c>
      <c r="L174">
        <f>Data!H565</f>
        <v>385</v>
      </c>
      <c r="M174">
        <f t="shared" si="15"/>
        <v>16</v>
      </c>
    </row>
    <row r="175" spans="2:13" x14ac:dyDescent="0.3">
      <c r="B175" s="29">
        <v>43965</v>
      </c>
      <c r="C175">
        <f>Data!E587</f>
        <v>36091</v>
      </c>
      <c r="D175">
        <f>Data!F587</f>
        <v>5472</v>
      </c>
      <c r="E175">
        <f>Data!G587</f>
        <v>1253649</v>
      </c>
      <c r="F175">
        <f>Data!H587</f>
        <v>31925</v>
      </c>
      <c r="G175">
        <f t="shared" si="16"/>
        <v>1209</v>
      </c>
      <c r="H175" s="29">
        <v>43965</v>
      </c>
      <c r="I175">
        <f>Data!E579</f>
        <v>1885</v>
      </c>
      <c r="J175">
        <f>Data!F579</f>
        <v>135</v>
      </c>
      <c r="K175">
        <f>Data!G579</f>
        <v>116764</v>
      </c>
      <c r="L175">
        <f>Data!H579</f>
        <v>372</v>
      </c>
      <c r="M175">
        <f t="shared" si="15"/>
        <v>16</v>
      </c>
    </row>
    <row r="176" spans="2:13" x14ac:dyDescent="0.3">
      <c r="B176" s="29">
        <v>43966</v>
      </c>
      <c r="C176">
        <f>Data!E601</f>
        <v>36895</v>
      </c>
      <c r="D176">
        <f>Data!F601</f>
        <v>5562</v>
      </c>
      <c r="E176">
        <f>Data!G601</f>
        <v>1280013</v>
      </c>
      <c r="F176">
        <f>Data!H601</f>
        <v>32144</v>
      </c>
      <c r="G176">
        <f t="shared" si="16"/>
        <v>1113</v>
      </c>
      <c r="H176" s="29">
        <v>43966</v>
      </c>
      <c r="I176">
        <f>Data!E593</f>
        <v>1908</v>
      </c>
      <c r="J176">
        <f>Data!F593</f>
        <v>140</v>
      </c>
      <c r="K176">
        <f>Data!G593</f>
        <v>118330</v>
      </c>
      <c r="L176">
        <f>Data!H593</f>
        <v>359</v>
      </c>
      <c r="M176">
        <f t="shared" si="15"/>
        <v>15</v>
      </c>
    </row>
    <row r="177" spans="2:13" x14ac:dyDescent="0.3">
      <c r="B177" s="29">
        <v>43967</v>
      </c>
      <c r="C177">
        <f>Data!E615</f>
        <v>37819</v>
      </c>
      <c r="D177">
        <f>Data!F615</f>
        <v>5679</v>
      </c>
      <c r="E177">
        <f>Data!G615</f>
        <v>1329948</v>
      </c>
      <c r="F177">
        <f>Data!H615</f>
        <v>32366</v>
      </c>
      <c r="G177">
        <f t="shared" si="16"/>
        <v>1263</v>
      </c>
      <c r="H177" s="29">
        <v>43967</v>
      </c>
      <c r="I177">
        <f>Data!E607</f>
        <v>1932</v>
      </c>
      <c r="J177">
        <f>Data!F607</f>
        <v>141</v>
      </c>
      <c r="K177">
        <f>Data!G607</f>
        <v>118335</v>
      </c>
      <c r="L177">
        <f>Data!H607</f>
        <v>355</v>
      </c>
      <c r="M177">
        <f t="shared" si="15"/>
        <v>21</v>
      </c>
    </row>
    <row r="178" spans="2:13" x14ac:dyDescent="0.3">
      <c r="B178" s="29">
        <v>43968</v>
      </c>
      <c r="C178">
        <f>(C177+C179)/2</f>
        <v>38523.5</v>
      </c>
      <c r="D178">
        <f>(D177+D179)/2</f>
        <v>5760.5</v>
      </c>
      <c r="E178">
        <f>(E177+E179)/2</f>
        <v>1351830</v>
      </c>
      <c r="F178">
        <f>(F177+F179)/2</f>
        <v>32684</v>
      </c>
      <c r="G178">
        <f t="shared" si="16"/>
        <v>1104</v>
      </c>
      <c r="H178" s="29">
        <v>43968</v>
      </c>
      <c r="I178">
        <f>(I177+I179)/2</f>
        <v>1949</v>
      </c>
      <c r="J178">
        <f>(J177+J179)/2</f>
        <v>142</v>
      </c>
      <c r="K178">
        <f>(K177+K179)/2</f>
        <v>118335</v>
      </c>
      <c r="L178">
        <f>(L177+L179)/2</f>
        <v>345</v>
      </c>
      <c r="M178">
        <f t="shared" si="15"/>
        <v>8</v>
      </c>
    </row>
    <row r="179" spans="2:13" x14ac:dyDescent="0.3">
      <c r="B179" s="29">
        <v>43969</v>
      </c>
      <c r="C179">
        <f>Data!E629</f>
        <v>39228</v>
      </c>
      <c r="D179">
        <f>Data!F629</f>
        <v>5842</v>
      </c>
      <c r="E179">
        <f>Data!G629</f>
        <v>1373712</v>
      </c>
      <c r="F179">
        <f>Data!H629</f>
        <v>33002</v>
      </c>
      <c r="G179">
        <f t="shared" si="16"/>
        <v>1104</v>
      </c>
      <c r="H179" s="29">
        <v>43969</v>
      </c>
      <c r="I179">
        <f>Data!E621</f>
        <v>1966</v>
      </c>
      <c r="J179">
        <f>Data!F621</f>
        <v>143</v>
      </c>
      <c r="K179">
        <f>Data!G621</f>
        <v>118335</v>
      </c>
      <c r="L179">
        <f>Data!H621</f>
        <v>335</v>
      </c>
      <c r="M179">
        <f t="shared" si="15"/>
        <v>8</v>
      </c>
    </row>
    <row r="180" spans="2:13" x14ac:dyDescent="0.3">
      <c r="B180" s="29">
        <v>43970</v>
      </c>
      <c r="C180">
        <f>Data!E643</f>
        <v>40050</v>
      </c>
      <c r="D180">
        <f>Data!F643</f>
        <v>5912</v>
      </c>
      <c r="E180">
        <f>Data!G643</f>
        <v>1384215</v>
      </c>
      <c r="F180">
        <f>Data!H643</f>
        <v>33150</v>
      </c>
      <c r="G180">
        <f t="shared" si="16"/>
        <v>1040</v>
      </c>
      <c r="H180" s="29">
        <v>43970</v>
      </c>
      <c r="I180">
        <f>Data!E635</f>
        <v>1975</v>
      </c>
      <c r="J180">
        <f>Data!F635</f>
        <v>146</v>
      </c>
      <c r="K180">
        <f>Data!G635</f>
        <v>118335</v>
      </c>
      <c r="L180">
        <f>Data!H635</f>
        <v>325</v>
      </c>
      <c r="M180">
        <f t="shared" si="15"/>
        <v>2</v>
      </c>
    </row>
    <row r="181" spans="2:13" x14ac:dyDescent="0.3">
      <c r="B181" s="29">
        <v>43971</v>
      </c>
      <c r="C181">
        <f>Data!E657</f>
        <v>40776</v>
      </c>
      <c r="D181">
        <f>Data!F657</f>
        <v>6031</v>
      </c>
      <c r="E181">
        <f>Data!G657</f>
        <v>1416537</v>
      </c>
      <c r="F181">
        <f>Data!H657</f>
        <v>33335</v>
      </c>
      <c r="G181">
        <f t="shared" si="16"/>
        <v>1030</v>
      </c>
      <c r="H181" s="29">
        <v>43971</v>
      </c>
      <c r="I181">
        <f>Data!E649</f>
        <v>1975</v>
      </c>
      <c r="J181">
        <f>Data!F649</f>
        <v>149</v>
      </c>
      <c r="K181">
        <f>Data!G649</f>
        <v>126236</v>
      </c>
      <c r="L181">
        <f>Data!H649</f>
        <v>343</v>
      </c>
      <c r="M181">
        <f t="shared" si="15"/>
        <v>21</v>
      </c>
    </row>
    <row r="182" spans="2:13" x14ac:dyDescent="0.3">
      <c r="B182" s="29">
        <v>43972</v>
      </c>
      <c r="C182">
        <f>Data!E671</f>
        <v>41715</v>
      </c>
      <c r="D182">
        <f>Data!F671</f>
        <v>6152</v>
      </c>
      <c r="E182">
        <f>Data!G671</f>
        <v>1456419</v>
      </c>
      <c r="F182">
        <f>Data!H671</f>
        <v>33457</v>
      </c>
      <c r="G182">
        <f t="shared" si="16"/>
        <v>1182</v>
      </c>
      <c r="H182" s="29">
        <v>43972</v>
      </c>
      <c r="I182">
        <f>Data!E663</f>
        <v>2020</v>
      </c>
      <c r="J182">
        <f>Data!F663</f>
        <v>152</v>
      </c>
      <c r="K182">
        <f>Data!G663</f>
        <v>127786</v>
      </c>
      <c r="L182">
        <f>Data!H663</f>
        <v>307</v>
      </c>
      <c r="M182">
        <f t="shared" si="15"/>
        <v>12</v>
      </c>
    </row>
    <row r="183" spans="2:13" x14ac:dyDescent="0.3">
      <c r="B183" s="29">
        <v>43973</v>
      </c>
      <c r="C183">
        <f>Data!E685</f>
        <v>42594</v>
      </c>
      <c r="D183">
        <f>Data!F685</f>
        <v>6250</v>
      </c>
      <c r="E183">
        <f>Data!G685</f>
        <v>1472899</v>
      </c>
      <c r="F183">
        <f>Data!H685</f>
        <v>33636</v>
      </c>
      <c r="G183">
        <f t="shared" si="16"/>
        <v>1156</v>
      </c>
      <c r="H183" s="29">
        <v>43973</v>
      </c>
      <c r="I183">
        <f>Data!E677</f>
        <v>2042</v>
      </c>
      <c r="J183">
        <f>Data!F677</f>
        <v>155</v>
      </c>
      <c r="K183">
        <f>Data!G677</f>
        <v>127786</v>
      </c>
      <c r="L183">
        <f>Data!H677</f>
        <v>310</v>
      </c>
      <c r="M183">
        <f t="shared" si="15"/>
        <v>28</v>
      </c>
    </row>
    <row r="184" spans="2:13" x14ac:dyDescent="0.3">
      <c r="B184" s="29">
        <v>43974</v>
      </c>
      <c r="C184">
        <f>Data!E699</f>
        <v>43207</v>
      </c>
      <c r="D184">
        <f>Data!F699</f>
        <v>6352</v>
      </c>
      <c r="E184">
        <f>Data!G699</f>
        <v>1511872</v>
      </c>
      <c r="F184">
        <f>Data!H699</f>
        <v>34031</v>
      </c>
      <c r="G184">
        <f t="shared" si="16"/>
        <v>1110</v>
      </c>
      <c r="H184" s="29">
        <v>43974</v>
      </c>
      <c r="I184">
        <f>Data!E691</f>
        <v>2057</v>
      </c>
      <c r="J184">
        <f>Data!F691</f>
        <v>157</v>
      </c>
      <c r="K184">
        <f>Data!G691</f>
        <v>129942</v>
      </c>
      <c r="L184">
        <f>Data!H691</f>
        <v>303</v>
      </c>
      <c r="M184">
        <f t="shared" si="15"/>
        <v>10</v>
      </c>
    </row>
    <row r="185" spans="2:13" x14ac:dyDescent="0.3">
      <c r="B185" s="29">
        <v>43975</v>
      </c>
      <c r="C185">
        <f>(C184+C186)/2</f>
        <v>43922.5</v>
      </c>
      <c r="D185">
        <f t="shared" ref="D185:F185" si="18">(D184+D186)/2</f>
        <v>6448.5</v>
      </c>
      <c r="E185">
        <f t="shared" si="18"/>
        <v>1529583</v>
      </c>
      <c r="F185">
        <f t="shared" si="18"/>
        <v>34279</v>
      </c>
      <c r="G185">
        <f t="shared" si="16"/>
        <v>1060</v>
      </c>
      <c r="H185" s="29">
        <v>43975</v>
      </c>
      <c r="I185">
        <f>(I184+I186)/2</f>
        <v>2079.5</v>
      </c>
      <c r="J185">
        <f t="shared" ref="J185:L185" si="19">(J184+J186)/2</f>
        <v>159</v>
      </c>
      <c r="K185">
        <f t="shared" si="19"/>
        <v>132566</v>
      </c>
      <c r="L185">
        <f t="shared" si="19"/>
        <v>284.5</v>
      </c>
      <c r="M185">
        <f t="shared" si="15"/>
        <v>6</v>
      </c>
    </row>
    <row r="186" spans="2:13" x14ac:dyDescent="0.3">
      <c r="B186" s="29">
        <v>43976</v>
      </c>
      <c r="C186">
        <f>Data!E713</f>
        <v>44638</v>
      </c>
      <c r="D186">
        <f>Data!F713</f>
        <v>6545</v>
      </c>
      <c r="E186">
        <f>Data!G713</f>
        <v>1547294</v>
      </c>
      <c r="F186">
        <f>Data!H713</f>
        <v>34527</v>
      </c>
      <c r="G186">
        <f t="shared" si="16"/>
        <v>1060</v>
      </c>
      <c r="H186" s="29">
        <v>43976</v>
      </c>
      <c r="I186">
        <f>Data!E705</f>
        <v>2102</v>
      </c>
      <c r="J186">
        <f>Data!F705</f>
        <v>161</v>
      </c>
      <c r="K186">
        <f>Data!G705</f>
        <v>135190</v>
      </c>
      <c r="L186">
        <f>Data!H705</f>
        <v>266</v>
      </c>
      <c r="M186">
        <f t="shared" si="15"/>
        <v>6</v>
      </c>
    </row>
    <row r="187" spans="2:13" x14ac:dyDescent="0.3">
      <c r="B187" s="29">
        <v>43977</v>
      </c>
      <c r="C187">
        <f>Data!E727</f>
        <v>45339</v>
      </c>
      <c r="D187">
        <f>Data!F727</f>
        <v>6639</v>
      </c>
      <c r="E187">
        <f>Data!G727</f>
        <v>1574149</v>
      </c>
      <c r="F187">
        <f>Data!H727</f>
        <v>34669</v>
      </c>
      <c r="G187">
        <f t="shared" ref="G187:G195" si="20">C187+D187+F187-C186-D186-F186</f>
        <v>937</v>
      </c>
      <c r="H187" s="29">
        <v>43977</v>
      </c>
      <c r="I187">
        <f>Data!E719</f>
        <v>2122</v>
      </c>
      <c r="J187">
        <f>Data!F719</f>
        <v>161</v>
      </c>
      <c r="K187">
        <f>Data!G719</f>
        <v>135190</v>
      </c>
      <c r="L187">
        <f>Data!H719</f>
        <v>258</v>
      </c>
      <c r="M187">
        <f t="shared" si="15"/>
        <v>12</v>
      </c>
    </row>
    <row r="188" spans="2:13" x14ac:dyDescent="0.3">
      <c r="B188" s="29">
        <v>43978</v>
      </c>
      <c r="C188">
        <f>Data!E741</f>
        <v>46164</v>
      </c>
      <c r="D188">
        <f>Data!F741</f>
        <v>6765</v>
      </c>
      <c r="E188">
        <f>Data!G741</f>
        <v>1598979</v>
      </c>
      <c r="F188">
        <f>Data!H741</f>
        <v>34590</v>
      </c>
      <c r="G188">
        <f t="shared" si="20"/>
        <v>872</v>
      </c>
      <c r="H188" s="29">
        <v>43978</v>
      </c>
      <c r="I188">
        <f>Data!E733</f>
        <v>2144</v>
      </c>
      <c r="J188">
        <f>Data!F733</f>
        <v>162</v>
      </c>
      <c r="K188">
        <f>Data!G733</f>
        <v>138043</v>
      </c>
      <c r="L188">
        <f>Data!H733</f>
        <v>244</v>
      </c>
      <c r="M188">
        <f t="shared" si="15"/>
        <v>9</v>
      </c>
    </row>
    <row r="189" spans="2:13" x14ac:dyDescent="0.3">
      <c r="B189" s="29">
        <v>43979</v>
      </c>
      <c r="C189">
        <f>Data!E755</f>
        <v>46840</v>
      </c>
      <c r="D189">
        <f>Data!F755</f>
        <v>6877</v>
      </c>
      <c r="E189">
        <f>Data!G755</f>
        <v>1606018</v>
      </c>
      <c r="F189">
        <f>Data!H755</f>
        <v>34795</v>
      </c>
      <c r="G189">
        <f t="shared" si="20"/>
        <v>993</v>
      </c>
      <c r="H189" s="29">
        <v>43979</v>
      </c>
      <c r="I189">
        <f>Data!E747</f>
        <v>2153</v>
      </c>
      <c r="J189">
        <f>Data!F747</f>
        <v>164</v>
      </c>
      <c r="K189">
        <f>Data!G747</f>
        <v>140136</v>
      </c>
      <c r="L189">
        <f>Data!H747</f>
        <v>241</v>
      </c>
      <c r="M189">
        <f t="shared" si="15"/>
        <v>8</v>
      </c>
    </row>
    <row r="190" spans="2:13" x14ac:dyDescent="0.3">
      <c r="B190" s="29">
        <v>43980</v>
      </c>
      <c r="C190">
        <f>Data!E769</f>
        <v>47518</v>
      </c>
      <c r="D190">
        <f>Data!F769</f>
        <v>6979</v>
      </c>
      <c r="E190">
        <f>Data!G769</f>
        <v>1666627</v>
      </c>
      <c r="F190">
        <f>Data!H769</f>
        <v>34921</v>
      </c>
      <c r="G190">
        <f t="shared" si="20"/>
        <v>906</v>
      </c>
      <c r="H190" s="29">
        <v>43980</v>
      </c>
      <c r="I190">
        <f>Data!E761</f>
        <v>2170</v>
      </c>
      <c r="J190">
        <f>Data!F761</f>
        <v>164</v>
      </c>
      <c r="K190">
        <f>Data!G761</f>
        <v>140136</v>
      </c>
      <c r="L190">
        <f>Data!H761</f>
        <v>228</v>
      </c>
      <c r="M190">
        <f t="shared" si="15"/>
        <v>4</v>
      </c>
    </row>
    <row r="191" spans="2:13" x14ac:dyDescent="0.3">
      <c r="B191" s="29">
        <v>43981</v>
      </c>
      <c r="C191">
        <f>Data!E783</f>
        <v>48103</v>
      </c>
      <c r="D191">
        <f>Data!F783</f>
        <v>7073</v>
      </c>
      <c r="E191">
        <f>Data!G783</f>
        <v>1710723</v>
      </c>
      <c r="F191">
        <f>Data!H783</f>
        <v>35014</v>
      </c>
      <c r="G191">
        <f t="shared" si="20"/>
        <v>772</v>
      </c>
      <c r="H191" s="29">
        <v>43981</v>
      </c>
      <c r="I191">
        <f>Data!E775</f>
        <v>2181</v>
      </c>
      <c r="J191">
        <f>Data!F775</f>
        <v>164</v>
      </c>
      <c r="K191">
        <f>Data!G775</f>
        <v>141392</v>
      </c>
      <c r="L191">
        <f>Data!H775</f>
        <v>228</v>
      </c>
      <c r="M191">
        <f t="shared" si="15"/>
        <v>11</v>
      </c>
    </row>
    <row r="192" spans="2:13" x14ac:dyDescent="0.3">
      <c r="B192" s="29">
        <v>43982</v>
      </c>
      <c r="C192">
        <f>(C191+C193)/2</f>
        <v>48914.5</v>
      </c>
      <c r="D192">
        <f t="shared" ref="D192:F192" si="21">(D191+D193)/2</f>
        <v>7199.5</v>
      </c>
      <c r="E192">
        <f t="shared" si="21"/>
        <v>1740154</v>
      </c>
      <c r="F192">
        <f t="shared" si="21"/>
        <v>34833.5</v>
      </c>
      <c r="G192">
        <f t="shared" si="20"/>
        <v>757.5</v>
      </c>
      <c r="H192" s="29">
        <v>43982</v>
      </c>
      <c r="I192">
        <f>(I191+I193)/2</f>
        <v>2194</v>
      </c>
      <c r="J192">
        <f t="shared" ref="J192:L192" si="22">(J191+J193)/2</f>
        <v>164.5</v>
      </c>
      <c r="K192">
        <f t="shared" si="22"/>
        <v>141392</v>
      </c>
      <c r="L192">
        <f t="shared" si="22"/>
        <v>226.5</v>
      </c>
      <c r="M192">
        <f t="shared" si="15"/>
        <v>12</v>
      </c>
    </row>
    <row r="193" spans="2:13" x14ac:dyDescent="0.3">
      <c r="B193" s="29">
        <v>43983</v>
      </c>
      <c r="C193">
        <f>Data!E797</f>
        <v>49726</v>
      </c>
      <c r="D193">
        <f>Data!F797</f>
        <v>7326</v>
      </c>
      <c r="E193">
        <f>Data!G797</f>
        <v>1769585</v>
      </c>
      <c r="F193">
        <f>Data!H797</f>
        <v>34653</v>
      </c>
      <c r="G193">
        <f>C193+D193+F193-C192-D192-F192</f>
        <v>757.5</v>
      </c>
      <c r="H193" s="29">
        <v>43983</v>
      </c>
      <c r="I193">
        <f>Data!E789</f>
        <v>2207</v>
      </c>
      <c r="J193">
        <f>Data!F789</f>
        <v>165</v>
      </c>
      <c r="K193">
        <f>Data!G789</f>
        <v>141392</v>
      </c>
      <c r="L193">
        <f>Data!H789</f>
        <v>225</v>
      </c>
      <c r="M193">
        <f>I193+J193+L193-I192-J192-L192</f>
        <v>12</v>
      </c>
    </row>
    <row r="194" spans="2:13" x14ac:dyDescent="0.3">
      <c r="B194" s="29">
        <v>43984</v>
      </c>
      <c r="C194">
        <f>Data!E811</f>
        <v>50357</v>
      </c>
      <c r="D194">
        <f>Data!F811</f>
        <v>7395</v>
      </c>
      <c r="E194">
        <f>Data!G811</f>
        <v>1807542</v>
      </c>
      <c r="F194">
        <f>Data!H811</f>
        <v>34658</v>
      </c>
      <c r="G194">
        <f t="shared" si="20"/>
        <v>705</v>
      </c>
      <c r="H194" s="29">
        <v>43984</v>
      </c>
      <c r="I194">
        <f>Data!E803</f>
        <v>2229</v>
      </c>
      <c r="J194">
        <f>Data!F803</f>
        <v>165</v>
      </c>
      <c r="K194">
        <f>Data!G803</f>
        <v>147757</v>
      </c>
      <c r="L194">
        <f>Data!H803</f>
        <v>207</v>
      </c>
      <c r="M194">
        <f t="shared" ref="M194:M195" si="23">I194+J194+L194-I193-J193-L193</f>
        <v>4</v>
      </c>
    </row>
    <row r="195" spans="2:13" x14ac:dyDescent="0.3">
      <c r="B195" s="29">
        <v>43985</v>
      </c>
      <c r="C195">
        <f>Data!E825</f>
        <v>51048</v>
      </c>
      <c r="D195">
        <f>Data!F825</f>
        <v>7498</v>
      </c>
      <c r="E195">
        <f>Data!G825</f>
        <v>1844637</v>
      </c>
      <c r="F195">
        <f>Data!H825</f>
        <v>34539</v>
      </c>
      <c r="G195">
        <f t="shared" si="20"/>
        <v>675</v>
      </c>
      <c r="H195" s="29">
        <v>43985</v>
      </c>
      <c r="I195">
        <f>Data!E817</f>
        <v>2243</v>
      </c>
      <c r="J195">
        <f>Data!F817</f>
        <v>166</v>
      </c>
      <c r="K195">
        <f>Data!G817</f>
        <v>149477</v>
      </c>
      <c r="L195">
        <f>Data!H817</f>
        <v>214</v>
      </c>
      <c r="M195">
        <f t="shared" si="23"/>
        <v>22</v>
      </c>
    </row>
    <row r="196" spans="2:13" x14ac:dyDescent="0.3">
      <c r="B196" s="29">
        <v>43986</v>
      </c>
      <c r="C196">
        <f>Data!E839</f>
        <v>51739</v>
      </c>
      <c r="D196">
        <f>Data!F839</f>
        <v>7637</v>
      </c>
      <c r="E196">
        <f>Data!G839</f>
        <v>1884476</v>
      </c>
      <c r="F196">
        <f>Data!H839</f>
        <v>34350</v>
      </c>
      <c r="G196">
        <f t="shared" ref="G196:G198" si="24">C196+D196+F196-C195-D195-F195</f>
        <v>641</v>
      </c>
      <c r="H196" s="29">
        <v>43986</v>
      </c>
      <c r="I196">
        <f>Data!E831</f>
        <v>2265</v>
      </c>
      <c r="J196">
        <f>Data!F831</f>
        <v>166</v>
      </c>
      <c r="K196">
        <f>Data!G831</f>
        <v>149477</v>
      </c>
      <c r="L196">
        <f>Data!H831</f>
        <v>201</v>
      </c>
      <c r="M196">
        <f t="shared" ref="M196:M198" si="25">I196+J196+L196-I195-J195-L195</f>
        <v>9</v>
      </c>
    </row>
    <row r="197" spans="2:13" x14ac:dyDescent="0.3">
      <c r="B197" s="29">
        <v>43987</v>
      </c>
      <c r="C197">
        <f>Data!E853</f>
        <v>52568</v>
      </c>
      <c r="D197">
        <f>Data!F853</f>
        <v>7703</v>
      </c>
      <c r="E197">
        <f>Data!G853</f>
        <v>1923515</v>
      </c>
      <c r="F197">
        <f>Data!H853</f>
        <v>34064</v>
      </c>
      <c r="G197">
        <f t="shared" si="24"/>
        <v>609</v>
      </c>
      <c r="H197" s="29">
        <v>43987</v>
      </c>
      <c r="I197">
        <f>Data!E845</f>
        <v>2272</v>
      </c>
      <c r="J197">
        <f>Data!F845</f>
        <v>167</v>
      </c>
      <c r="K197">
        <f>Data!G845</f>
        <v>147757</v>
      </c>
      <c r="L197">
        <f>Data!H845</f>
        <v>193</v>
      </c>
      <c r="M197">
        <f t="shared" si="25"/>
        <v>0</v>
      </c>
    </row>
    <row r="198" spans="2:13" x14ac:dyDescent="0.3">
      <c r="B198" s="29">
        <v>43988</v>
      </c>
      <c r="C198">
        <f>Data!E867</f>
        <v>53614</v>
      </c>
      <c r="D198">
        <f>Data!F867</f>
        <v>7773</v>
      </c>
      <c r="E198">
        <f>Data!G867</f>
        <v>1958306</v>
      </c>
      <c r="F198">
        <f>Data!H867</f>
        <v>33670</v>
      </c>
      <c r="G198">
        <f t="shared" si="24"/>
        <v>722</v>
      </c>
      <c r="H198" s="29">
        <v>43988</v>
      </c>
      <c r="I198">
        <f>Data!E859</f>
        <v>2272</v>
      </c>
      <c r="J198">
        <f>Data!F859</f>
        <v>167</v>
      </c>
      <c r="K198">
        <f>Data!G859</f>
        <v>153359</v>
      </c>
      <c r="L198">
        <f>Data!H859</f>
        <v>193</v>
      </c>
      <c r="M198">
        <f t="shared" si="25"/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8" workbookViewId="0">
      <selection activeCell="A2" sqref="A2"/>
    </sheetView>
  </sheetViews>
  <sheetFormatPr defaultRowHeight="14.4" x14ac:dyDescent="0.3"/>
  <cols>
    <col min="2" max="11" width="9" customWidth="1"/>
  </cols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3" workbookViewId="0">
      <selection activeCell="N201" sqref="N201"/>
    </sheetView>
  </sheetViews>
  <sheetFormatPr defaultRowHeight="14.4" x14ac:dyDescent="0.3"/>
  <cols>
    <col min="2" max="11" width="9" customWidth="1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45:N148"/>
  <sheetViews>
    <sheetView workbookViewId="0">
      <selection activeCell="A21" sqref="A21"/>
    </sheetView>
  </sheetViews>
  <sheetFormatPr defaultRowHeight="14.4" x14ac:dyDescent="0.3"/>
  <cols>
    <col min="2" max="11" width="9" customWidth="1"/>
  </cols>
  <sheetData>
    <row r="145" spans="12:14" x14ac:dyDescent="0.3">
      <c r="M145" t="s">
        <v>28</v>
      </c>
      <c r="N145" t="s">
        <v>57</v>
      </c>
    </row>
    <row r="146" spans="12:14" x14ac:dyDescent="0.3">
      <c r="L146" t="s">
        <v>8</v>
      </c>
      <c r="M146">
        <f>Data!C774</f>
        <v>50651</v>
      </c>
      <c r="N146">
        <f>Data!C783-Data!C774</f>
        <v>39539</v>
      </c>
    </row>
    <row r="147" spans="12:14" x14ac:dyDescent="0.3">
      <c r="L147" t="s">
        <v>38</v>
      </c>
      <c r="M147">
        <f>Data!H774</f>
        <v>30142</v>
      </c>
      <c r="N147">
        <f>Data!H783-Data!H774</f>
        <v>4872</v>
      </c>
    </row>
    <row r="148" spans="12:14" x14ac:dyDescent="0.3">
      <c r="L148" t="s">
        <v>16</v>
      </c>
      <c r="M148">
        <f>Data!F774</f>
        <v>4439</v>
      </c>
      <c r="N148">
        <f>Data!F783-Data!F774</f>
        <v>2634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July 11</vt:lpstr>
      <vt:lpstr>July 4</vt:lpstr>
      <vt:lpstr>June 27</vt:lpstr>
      <vt:lpstr>June 20</vt:lpstr>
      <vt:lpstr>Data</vt:lpstr>
      <vt:lpstr>Graph Data</vt:lpstr>
      <vt:lpstr>June 13</vt:lpstr>
      <vt:lpstr>June 6</vt:lpstr>
      <vt:lpstr>May 30</vt:lpstr>
      <vt:lpstr>May 23</vt:lpstr>
      <vt:lpstr>Canada Numbers</vt:lpstr>
      <vt:lpstr>BC Numbers</vt:lpstr>
      <vt:lpstr>Tests Per Million Population</vt:lpstr>
      <vt:lpstr>Cases Per Million Population</vt:lpstr>
      <vt:lpstr>Deaths Per Million Population</vt:lpstr>
      <vt:lpstr>% Mortality Outcome</vt:lpstr>
      <vt:lpstr>Active Cases Per Million</vt:lpstr>
      <vt:lpstr>Active Cases</vt:lpstr>
      <vt:lpstr>Cumulative Deaths</vt:lpstr>
      <vt:lpstr>Active Cases Stacked</vt:lpstr>
      <vt:lpstr>% Death per Case</vt:lpstr>
      <vt:lpstr>New Cases</vt:lpstr>
      <vt:lpstr>New Deaths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Vikings</dc:creator>
  <cp:lastModifiedBy>Vikings</cp:lastModifiedBy>
  <dcterms:created xsi:type="dcterms:W3CDTF">2020-03-27T18:16:42Z</dcterms:created>
  <dcterms:modified xsi:type="dcterms:W3CDTF">2020-07-11T20:12:28Z</dcterms:modified>
</cp:coreProperties>
</file>